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3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  <sheet name="Sheet2" sheetId="15" r:id="rId15"/>
  </sheets>
  <definedNames>
    <definedName name="_xlnm.Print_Area" localSheetId="0">'งบทดลอง'!$A$1:$D$79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<sst xmlns="http://schemas.openxmlformats.org/spreadsheetml/2006/main" count="1547" uniqueCount="551">
  <si>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</si>
  <si>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</si>
  <si>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</si>
  <si>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</si>
  <si>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</si>
  <si>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</si>
  <si>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</si>
  <si>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</si>
  <si>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</si>
  <si>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</si>
  <si>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</si>
  <si>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</si>
  <si>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</si>
  <si>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</si>
  <si>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</si>
  <si>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</si>
  <si>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</si>
  <si>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</si>
  <si>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</si>
  <si>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</si>
  <si>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</si>
  <si>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</si>
  <si>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</si>
  <si>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</si>
  <si>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</si>
  <si>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</si>
  <si>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</si>
  <si>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</si>
  <si>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</si>
  <si>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</si>
  <si>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</si>
  <si>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</si>
  <si>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</si>
  <si>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</si>
  <si>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</si>
  <si>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</si>
  <si>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</si>
  <si>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</si>
  <si>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</si>
  <si>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</si>
  <si>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</si>
  <si>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</si>
  <si>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</si>
  <si>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</si>
  <si>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</si>
  <si>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</si>
  <si>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</si>
  <si>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</si>
  <si>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</si>
  <si>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</si>
  <si>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</si>
  <si>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</si>
  <si>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</si>
  <si>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</si>
  <si>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</si>
  <si>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</si>
  <si>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</si>
  <si>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</si>
  <si>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</si>
  <si>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</si>
  <si>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</si>
  <si>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</si>
  <si>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</si>
  <si>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</si>
  <si>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</si>
  <si>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</si>
  <si>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</si>
  <si>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</si>
  <si>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</si>
  <si>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</si>
  <si>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</si>
  <si>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</si>
  <si>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</si>
  <si>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</si>
  <si>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</si>
  <si>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</si>
  <si>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</si>
  <si>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</si>
  <si>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</si>
  <si>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</si>
  <si>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</si>
  <si>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</si>
  <si>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</si>
  <si>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</si>
  <si>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</si>
  <si>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</si>
  <si>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</si>
  <si>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</si>
  <si>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</si>
  <si>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</si>
  <si>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</si>
  <si>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</si>
  <si>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</si>
  <si>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</si>
  <si>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</si>
  <si>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</si>
  <si>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</si>
  <si>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</si>
  <si>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</si>
  <si>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</si>
  <si>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</si>
  <si>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</si>
  <si>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</si>
  <si>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</si>
  <si>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</si>
  <si>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</si>
  <si>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</si>
  <si>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</si>
  <si>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</si>
  <si>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</si>
  <si>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</si>
  <si>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</si>
  <si>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</si>
  <si>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</si>
  <si>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</si>
  <si>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</si>
  <si>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</si>
  <si>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</si>
  <si>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</si>
  <si>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</si>
  <si>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</si>
  <si>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</si>
  <si>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</si>
  <si>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</si>
  <si>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</si>
  <si>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</si>
  <si>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</si>
  <si>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</si>
  <si>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</si>
  <si>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</si>
  <si>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</si>
  <si>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</si>
  <si>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</si>
  <si>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</si>
  <si>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</si>
  <si>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</si>
  <si>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</si>
  <si>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</si>
  <si>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</si>
  <si>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</si>
  <si>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</si>
  <si>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</si>
  <si>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</si>
  <si>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</si>
  <si>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</si>
  <si>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</si>
  <si>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</si>
  <si>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</si>
  <si>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</si>
  <si>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</si>
  <si>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</si>
  <si>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</si>
  <si>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</si>
  <si>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</si>
  <si>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</si>
  <si>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</si>
  <si>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</si>
  <si>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</si>
  <si>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</si>
  <si>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</si>
  <si>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</si>
  <si>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</si>
  <si>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</si>
  <si>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</si>
  <si>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</si>
  <si>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</si>
  <si>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</si>
  <si>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</si>
  <si>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</si>
  <si>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</si>
  <si>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</si>
  <si>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</si>
  <si>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</si>
  <si>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</si>
  <si>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</si>
  <si>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</si>
  <si>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</si>
  <si>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</si>
  <si>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</si>
  <si>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</si>
  <si>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</si>
  <si>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</si>
  <si>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</si>
  <si>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</si>
  <si>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</si>
  <si>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</si>
  <si>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</si>
  <si>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</si>
  <si>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</si>
  <si>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</si>
  <si>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</si>
  <si>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</si>
  <si>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</si>
  <si>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</si>
  <si>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</si>
  <si>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</si>
  <si>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</si>
  <si>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</si>
  <si>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</si>
  <si>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</si>
  <si>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</si>
  <si>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</si>
  <si>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</si>
  <si>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</si>
  <si>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</si>
  <si>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</si>
  <si>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</si>
  <si>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</si>
  <si>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</si>
  <si>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</si>
  <si>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</si>
  <si>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</si>
  <si>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</si>
  <si>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</si>
  <si>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</si>
  <si>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</si>
  <si>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</si>
  <si>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</si>
  <si>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</si>
  <si>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</si>
  <si>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</si>
  <si>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</si>
  <si>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</si>
  <si>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</si>
  <si>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</si>
  <si>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</si>
  <si>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</si>
  <si>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</si>
  <si>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</si>
  <si>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</si>
  <si>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</si>
  <si>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</si>
  <si>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</si>
  <si>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</si>
  <si>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</si>
  <si>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</si>
  <si>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</si>
  <si>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</si>
  <si>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</si>
  <si>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</si>
  <si>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</si>
  <si>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</si>
  <si>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</si>
  <si>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</si>
  <si>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</si>
  <si>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</si>
  <si>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</si>
  <si>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</si>
  <si>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</si>
  <si>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</si>
  <si>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</si>
  <si>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</si>
  <si>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</si>
  <si>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</si>
  <si>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</si>
  <si>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</si>
  <si>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</si>
  <si>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</si>
  <si>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</si>
  <si>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</si>
  <si>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</si>
  <si>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</si>
  <si>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</si>
  <si>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</si>
  <si>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</si>
  <si>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</si>
  <si>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</si>
  <si>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</si>
  <si>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</si>
  <si>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</si>
  <si>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</si>
  <si>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</si>
  <si>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</si>
  <si>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</si>
  <si>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</si>
  <si>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</si>
  <si>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</si>
  <si>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</si>
  <si>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</si>
  <si>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</si>
  <si>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</si>
  <si>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</si>
  <si>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</si>
  <si>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</si>
  <si>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</si>
  <si>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</si>
  <si>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</si>
  <si>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</si>
  <si>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</si>
  <si>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</si>
  <si>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</si>
  <si>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</si>
  <si>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</si>
  <si>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</si>
  <si>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</si>
  <si>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</si>
  <si>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</si>
  <si>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</si>
  <si>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</si>
  <si>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</si>
  <si>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</si>
  <si>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</si>
  <si>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</si>
  <si>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</si>
  <si>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</si>
  <si>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</si>
  <si>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</si>
  <si>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</si>
  <si>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</si>
  <si>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</si>
  <si>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</si>
  <si>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</si>
  <si>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</si>
  <si>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</si>
  <si>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</si>
  <si>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</si>
  <si>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</si>
  <si>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</si>
  <si>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</si>
  <si>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</si>
  <si>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</si>
  <si>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</si>
  <si>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</si>
  <si>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</si>
  <si>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</si>
  <si>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</si>
  <si>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</si>
  <si>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</si>
  <si>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</si>
  <si>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</si>
  <si>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</si>
  <si>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</si>
  <si>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</si>
  <si>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</si>
  <si>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</si>
  <si>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</si>
  <si>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</si>
  <si>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</si>
  <si>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</si>
  <si>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</si>
  <si>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</si>
  <si>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</si>
  <si>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</si>
  <si>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</si>
  <si>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</si>
  <si>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</si>
  <si>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</si>
  <si>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</si>
  <si>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</si>
  <si>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</si>
  <si>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</si>
  <si>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</si>
  <si>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</si>
  <si>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</si>
  <si>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</si>
  <si>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</si>
  <si>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</si>
  <si>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</si>
  <si>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</si>
  <si>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</si>
  <si>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</si>
  <si>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</si>
  <si>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</si>
  <si>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</si>
  <si>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</si>
  <si>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</si>
  <si>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</si>
  <si>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</si>
  <si>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</si>
  <si>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</si>
  <si>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</si>
  <si>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</si>
  <si>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</si>
  <si>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</si>
  <si>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</si>
  <si>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</si>
  <si>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</si>
  <si>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</si>
  <si>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</si>
  <si>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</si>
  <si>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</si>
  <si>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</si>
  <si>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</si>
  <si>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</si>
  <si>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</si>
  <si>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</si>
  <si>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</si>
  <si>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</si>
  <si>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</si>
  <si>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</si>
  <si>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</si>
  <si>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</si>
  <si>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</si>
  <si>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</si>
  <si>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</si>
  <si>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</si>
  <si>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</si>
  <si>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</si>
  <si>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</si>
  <si>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</si>
  <si>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</si>
  <si>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</si>
  <si>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</si>
  <si>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</si>
  <si>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</si>
  <si>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.</t>
  </si>
  <si>
    <t>4/2558</t>
  </si>
  <si>
    <t>กลุ่มทำหินทราย หมู่ 11</t>
  </si>
  <si>
    <t>6/2558</t>
  </si>
  <si>
    <t>7/2558</t>
  </si>
  <si>
    <t/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</si>
  <si>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</si>
  <si>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</si>
  <si>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</si>
  <si>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</si>
  <si>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</si>
  <si>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</si>
  <si>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</si>
  <si>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</si>
  <si>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</si>
  <si>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</si>
  <si>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</si>
  <si>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</si>
  <si>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</si>
  <si>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</si>
  <si>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</si>
  <si>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</si>
  <si>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</si>
  <si>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</si>
  <si>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</si>
  <si>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รายจ่ายตามงบประมาณ (จ่ายจากรายรับ)</t>
  </si>
  <si>
    <t xml:space="preserve">   ฟื้นฟูผู้ติดยาเสพติด</t>
  </si>
  <si>
    <t xml:space="preserve">   ผู้ท่ผ่านการบำบัดฟื้นฟู</t>
  </si>
  <si>
    <t>นักวิชาการเงินและบัญชี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</si>
  <si>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</si>
  <si>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</si>
  <si>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</si>
  <si>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</si>
  <si>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</si>
  <si>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</si>
  <si>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</si>
  <si>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</si>
  <si>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</si>
  <si>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</si>
  <si>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</si>
  <si>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</si>
  <si>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</si>
  <si>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</si>
  <si>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</si>
  <si>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</si>
  <si>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</si>
  <si>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</si>
  <si>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</si>
  <si>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</si>
  <si>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</si>
  <si>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</si>
  <si>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</si>
  <si>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</si>
  <si>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</si>
  <si>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</si>
  <si>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</si>
  <si>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</si>
  <si>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</si>
  <si>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</si>
  <si>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</si>
  <si>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</si>
  <si>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</si>
  <si>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</si>
  <si>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</si>
  <si>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</si>
  <si>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</si>
  <si>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</si>
  <si>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</si>
  <si>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</si>
  <si>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</si>
  <si>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ผู้อำนวยการกองคลัง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</si>
  <si>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</si>
  <si>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</si>
  <si>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</si>
  <si>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</si>
  <si>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</si>
  <si>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</si>
  <si>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</si>
  <si>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</si>
  <si>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</si>
  <si>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</si>
  <si>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</si>
  <si>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</si>
  <si>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</si>
  <si>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</si>
  <si>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ค่าอาหารเสริมนม เดือน กันยายน-ตุลาคม 2558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</si>
  <si>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</si>
  <si>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</si>
  <si>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</si>
  <si>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</si>
  <si>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</si>
  <si>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</si>
  <si>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</si>
  <si>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</si>
  <si>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</si>
  <si>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</si>
  <si>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</si>
  <si>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4.เงินอุดหนุนทั่วไประบุวัตถุประสงค์-เบี้ยยังชีพผู้สูงอายุ</t>
  </si>
  <si>
    <t>5.เงินอุดหนุนทั่วไประบุวัตถุประสงค์-ค่าใช้จ่ายสำหรับการบำบัดและ</t>
  </si>
  <si>
    <t>6.เงินอุดหนุนทั่วไประบุวัตถุประสงค์-ค่าใช้จ่ายสำหรับอาชีพให้แก่</t>
  </si>
  <si>
    <t>7.โครงการก่อสร้างระบบประปาผิวดินขนาดใหญ่บ้านละลม ม. 3</t>
  </si>
  <si>
    <t>00251</t>
  </si>
  <si>
    <t>ณ  วันที่   31  ตุลาคม 2558</t>
  </si>
  <si>
    <t>เงินสด</t>
  </si>
  <si>
    <t xml:space="preserve"> 31  ตุลาคม  2558</t>
  </si>
  <si>
    <t>หมายเหตุ 2  ประกอบงบทดลอง  ณ  วันที่    31  ตุลาคม  2558</t>
  </si>
  <si>
    <t>หมายเหตุ 1  ประกอบงบทดลอง  ณ  วันที่    31  ตุลาคม  2558</t>
  </si>
  <si>
    <t xml:space="preserve">ประจำเดือน ตุลาคม  2558 </t>
  </si>
  <si>
    <t>ปีงบประมาณ  2559</t>
  </si>
  <si>
    <t>เงินรอคืนจังหวัด</t>
  </si>
  <si>
    <t>ณ วันที่  31  ตุลาคม  2558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</si>
  <si>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</si>
  <si>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</si>
  <si>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</si>
  <si>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</si>
  <si>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</si>
  <si>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</si>
  <si>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</si>
  <si>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>ค่าตอบแทนพนักงานจ้าง</t>
  </si>
  <si>
    <t>วันที่  1  ตุลาคม  2558  ถึง   31  ตุลาคม  2558</t>
  </si>
  <si>
    <t xml:space="preserve">           รับเงินรายได้จากรัฐบาลค้างรับ  </t>
  </si>
  <si>
    <t>เดือน  ตุลาคม  2558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</si>
  <si>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</si>
  <si>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</si>
  <si>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</si>
  <si>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</si>
  <si>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ยอดเงินคงเหลือตามรายงานธนาคาร ณ วันที่  31  ตุลาคม  2558</t>
  </si>
  <si>
    <t>22 ต.ค. 58</t>
  </si>
  <si>
    <t>13349572</t>
  </si>
  <si>
    <t>13349573</t>
  </si>
  <si>
    <t>29 ต.ค. 58</t>
  </si>
  <si>
    <t>13349575</t>
  </si>
  <si>
    <t>13349576</t>
  </si>
  <si>
    <t>13349577</t>
  </si>
  <si>
    <t>13349578</t>
  </si>
  <si>
    <t>13349580</t>
  </si>
  <si>
    <t>13349581</t>
  </si>
  <si>
    <t>30 ต.ค. 58</t>
  </si>
  <si>
    <t>ยอดเงินคงเหลือตามบัญชี  ณ  วันที่  31  ตุลาคม  2558</t>
  </si>
  <si>
    <t>(ลงชื่อ)...................................................วันที่ 31  ตุลาคม 2558</t>
  </si>
  <si>
    <t>(ลงชื่อ).....................................วันที่  31  ตุลาคม 2558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</si>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</sst>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3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5256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6875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525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687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2"/>
  <sheetViews>
    <sheetView view="pageBreakPreview" zoomScaleSheetLayoutView="100" workbookViewId="0" topLeftCell="A73">
      <selection activeCell="A77" sqref="A77"/>
    </sheetView>
  </sheetViews>
  <sheetFormatPr defaultColWidth="9.140625" defaultRowHeight="16.5" customHeight="1"/>
  <cols>
    <col min="1" max="1" width="65.28125" style="156" customWidth="1"/>
    <col min="2" max="2" width="6.57421875" style="167" customWidth="1"/>
    <col min="3" max="3" width="13.28125" style="12" customWidth="1"/>
    <col min="4" max="4" width="14.28125" style="8" customWidth="1"/>
    <col min="5" max="5" width="10.8515625" style="156" bestFit="1" customWidth="1"/>
    <col min="6" max="6" width="11.140625" style="156" bestFit="1" customWidth="1"/>
    <col min="7" max="16384" width="9.140625" style="156" customWidth="1"/>
  </cols>
  <sheetData>
    <row r="1" spans="1:4" ht="16.5" customHeight="1">
      <c r="A1" s="288" t="s">
        <v>0</v>
      </c>
      <c r="B1" s="288"/>
      <c r="C1" s="288"/>
      <c r="D1" s="288"/>
    </row>
    <row r="2" spans="1:4" ht="16.5" customHeight="1">
      <c r="A2" s="288" t="s">
        <v>1</v>
      </c>
      <c r="B2" s="288"/>
      <c r="C2" s="288"/>
      <c r="D2" s="288"/>
    </row>
    <row r="3" spans="1:4" ht="16.5" customHeight="1">
      <c r="A3" s="288" t="s">
        <v>507</v>
      </c>
      <c r="B3" s="288"/>
      <c r="C3" s="288"/>
      <c r="D3" s="288"/>
    </row>
    <row r="4" spans="1:4" s="159" customFormat="1" ht="16.5" customHeight="1">
      <c r="A4" s="157" t="s">
        <v>2</v>
      </c>
      <c r="B4" s="158" t="s">
        <v>3</v>
      </c>
      <c r="C4" s="45" t="s">
        <v>4</v>
      </c>
      <c r="D4" s="3" t="s">
        <v>5</v>
      </c>
    </row>
    <row r="5" spans="1:4" s="159" customFormat="1" ht="16.5" customHeight="1">
      <c r="A5" s="160" t="s">
        <v>508</v>
      </c>
      <c r="B5" s="162" t="s">
        <v>266</v>
      </c>
      <c r="C5" s="285">
        <v>2000</v>
      </c>
      <c r="D5" s="97"/>
    </row>
    <row r="6" spans="1:4" s="159" customFormat="1" ht="16.5" customHeight="1">
      <c r="A6" s="161" t="s">
        <v>363</v>
      </c>
      <c r="B6" s="162" t="s">
        <v>454</v>
      </c>
      <c r="C6" s="47">
        <v>5921047.07</v>
      </c>
      <c r="D6" s="97"/>
    </row>
    <row r="7" spans="1:9" ht="16.5" customHeight="1">
      <c r="A7" s="161" t="s">
        <v>73</v>
      </c>
      <c r="B7" s="162" t="s">
        <v>454</v>
      </c>
      <c r="C7" s="47">
        <f>7471925.9</f>
        <v>7471925.9</v>
      </c>
      <c r="D7" s="97"/>
      <c r="I7" s="161"/>
    </row>
    <row r="8" spans="1:4" ht="16.5" customHeight="1">
      <c r="A8" s="161" t="s">
        <v>74</v>
      </c>
      <c r="B8" s="162" t="s">
        <v>454</v>
      </c>
      <c r="C8" s="47">
        <v>144481.71</v>
      </c>
      <c r="D8" s="46"/>
    </row>
    <row r="9" spans="1:4" ht="16.5" customHeight="1">
      <c r="A9" s="161" t="s">
        <v>367</v>
      </c>
      <c r="B9" s="162" t="s">
        <v>454</v>
      </c>
      <c r="C9" s="47">
        <v>5146644.2</v>
      </c>
      <c r="D9" s="46"/>
    </row>
    <row r="10" spans="1:4" ht="16.5" customHeight="1">
      <c r="A10" s="161" t="s">
        <v>75</v>
      </c>
      <c r="B10" s="162" t="s">
        <v>455</v>
      </c>
      <c r="C10" s="47">
        <v>12809280.45</v>
      </c>
      <c r="D10" s="46"/>
    </row>
    <row r="11" spans="1:4" ht="16.5" customHeight="1">
      <c r="A11" s="161" t="s">
        <v>31</v>
      </c>
      <c r="B11" s="162" t="s">
        <v>456</v>
      </c>
      <c r="C11" s="47">
        <v>54652</v>
      </c>
      <c r="D11" s="46"/>
    </row>
    <row r="12" spans="1:4" ht="16.5" customHeight="1">
      <c r="A12" s="161" t="s">
        <v>492</v>
      </c>
      <c r="B12" s="162" t="s">
        <v>456</v>
      </c>
      <c r="C12" s="47">
        <v>611900</v>
      </c>
      <c r="D12" s="46"/>
    </row>
    <row r="13" spans="1:4" ht="16.5" customHeight="1">
      <c r="A13" s="161" t="s">
        <v>493</v>
      </c>
      <c r="B13" s="162" t="s">
        <v>456</v>
      </c>
      <c r="C13" s="47">
        <v>148000</v>
      </c>
      <c r="D13" s="46"/>
    </row>
    <row r="14" spans="1:4" ht="16.5" customHeight="1">
      <c r="A14" s="161" t="s">
        <v>494</v>
      </c>
      <c r="B14" s="162" t="s">
        <v>456</v>
      </c>
      <c r="C14" s="47">
        <v>450</v>
      </c>
      <c r="D14" s="46"/>
    </row>
    <row r="15" spans="1:10" ht="16.5" customHeight="1">
      <c r="A15" s="161" t="s">
        <v>337</v>
      </c>
      <c r="B15" s="162" t="s">
        <v>457</v>
      </c>
      <c r="C15" s="47">
        <v>235860</v>
      </c>
      <c r="D15" s="46"/>
      <c r="J15" s="156" t="s">
        <v>549</v>
      </c>
    </row>
    <row r="16" spans="1:4" ht="16.5" customHeight="1">
      <c r="A16" s="161" t="s">
        <v>338</v>
      </c>
      <c r="B16" s="162" t="s">
        <v>458</v>
      </c>
      <c r="C16" s="47">
        <v>361120</v>
      </c>
      <c r="D16" s="46"/>
    </row>
    <row r="17" spans="1:4" ht="16.5" customHeight="1">
      <c r="A17" s="161" t="s">
        <v>495</v>
      </c>
      <c r="B17" s="162" t="s">
        <v>458</v>
      </c>
      <c r="C17" s="47">
        <v>16570</v>
      </c>
      <c r="D17" s="46"/>
    </row>
    <row r="18" spans="1:4" ht="16.5" customHeight="1">
      <c r="A18" s="161" t="s">
        <v>339</v>
      </c>
      <c r="B18" s="162" t="s">
        <v>458</v>
      </c>
      <c r="C18" s="47">
        <v>13285</v>
      </c>
      <c r="D18" s="46"/>
    </row>
    <row r="19" spans="1:4" ht="16.5" customHeight="1">
      <c r="A19" s="161" t="s">
        <v>340</v>
      </c>
      <c r="B19" s="162" t="s">
        <v>458</v>
      </c>
      <c r="C19" s="47">
        <v>117670</v>
      </c>
      <c r="D19" s="46"/>
    </row>
    <row r="20" spans="1:4" ht="16.5" customHeight="1">
      <c r="A20" s="161" t="s">
        <v>496</v>
      </c>
      <c r="B20" s="162" t="s">
        <v>458</v>
      </c>
      <c r="C20" s="47">
        <v>9000</v>
      </c>
      <c r="D20" s="46"/>
    </row>
    <row r="21" spans="1:4" ht="16.5" customHeight="1">
      <c r="A21" s="161" t="s">
        <v>6</v>
      </c>
      <c r="B21" s="162" t="s">
        <v>459</v>
      </c>
      <c r="C21" s="47">
        <v>33160</v>
      </c>
      <c r="D21" s="46"/>
    </row>
    <row r="22" spans="1:4" ht="16.5" customHeight="1">
      <c r="A22" s="161" t="s">
        <v>7</v>
      </c>
      <c r="B22" s="162" t="s">
        <v>365</v>
      </c>
      <c r="C22" s="47">
        <v>18904</v>
      </c>
      <c r="D22" s="46"/>
    </row>
    <row r="23" spans="1:4" ht="16.5" customHeight="1">
      <c r="A23" s="161" t="s">
        <v>8</v>
      </c>
      <c r="B23" s="162" t="s">
        <v>460</v>
      </c>
      <c r="C23" s="47">
        <v>25396</v>
      </c>
      <c r="D23" s="46"/>
    </row>
    <row r="24" spans="1:4" ht="16.5" customHeight="1">
      <c r="A24" s="161" t="s">
        <v>9</v>
      </c>
      <c r="B24" s="162" t="s">
        <v>461</v>
      </c>
      <c r="C24" s="47">
        <v>22325.18</v>
      </c>
      <c r="D24" s="46"/>
    </row>
    <row r="25" spans="1:4" ht="16.5" customHeight="1">
      <c r="A25" s="161" t="s">
        <v>55</v>
      </c>
      <c r="B25" s="162" t="s">
        <v>462</v>
      </c>
      <c r="C25" s="47">
        <v>2050</v>
      </c>
      <c r="D25" s="46"/>
    </row>
    <row r="26" spans="1:4" ht="16.5" customHeight="1">
      <c r="A26" s="160" t="s">
        <v>434</v>
      </c>
      <c r="B26" s="162" t="s">
        <v>464</v>
      </c>
      <c r="C26" s="47">
        <v>9400</v>
      </c>
      <c r="D26" s="46"/>
    </row>
    <row r="27" spans="1:4" ht="16.5" customHeight="1">
      <c r="A27" s="161" t="s">
        <v>341</v>
      </c>
      <c r="B27" s="162" t="s">
        <v>465</v>
      </c>
      <c r="C27" s="47">
        <v>3996.99</v>
      </c>
      <c r="D27" s="46"/>
    </row>
    <row r="28" spans="1:4" ht="16.5" customHeight="1">
      <c r="A28" s="160" t="s">
        <v>453</v>
      </c>
      <c r="B28" s="162" t="s">
        <v>466</v>
      </c>
      <c r="C28" s="47">
        <v>991560</v>
      </c>
      <c r="D28" s="46"/>
    </row>
    <row r="29" spans="1:4" ht="16.5" customHeight="1">
      <c r="A29" s="160" t="s">
        <v>477</v>
      </c>
      <c r="B29" s="162" t="s">
        <v>478</v>
      </c>
      <c r="C29" s="47">
        <v>785920</v>
      </c>
      <c r="D29" s="46"/>
    </row>
    <row r="30" spans="1:4" ht="16.5" customHeight="1">
      <c r="A30" s="160" t="s">
        <v>11</v>
      </c>
      <c r="B30" s="162" t="s">
        <v>364</v>
      </c>
      <c r="C30" s="47"/>
      <c r="D30" s="46">
        <v>1183956.28</v>
      </c>
    </row>
    <row r="31" spans="1:4" ht="16.5" customHeight="1">
      <c r="A31" s="161" t="s">
        <v>476</v>
      </c>
      <c r="B31" s="162" t="s">
        <v>472</v>
      </c>
      <c r="C31" s="47"/>
      <c r="D31" s="98">
        <v>825450</v>
      </c>
    </row>
    <row r="32" spans="1:4" ht="16.5" customHeight="1">
      <c r="A32" s="161" t="s">
        <v>342</v>
      </c>
      <c r="B32" s="162" t="s">
        <v>471</v>
      </c>
      <c r="C32" s="47"/>
      <c r="D32" s="96">
        <v>1544444.87</v>
      </c>
    </row>
    <row r="33" spans="1:4" ht="16.5" customHeight="1">
      <c r="A33" s="161" t="s">
        <v>10</v>
      </c>
      <c r="B33" s="162" t="s">
        <v>459</v>
      </c>
      <c r="C33" s="47"/>
      <c r="D33" s="46">
        <v>16461154.56</v>
      </c>
    </row>
    <row r="34" spans="1:4" ht="16.5" customHeight="1">
      <c r="A34" s="161" t="s">
        <v>128</v>
      </c>
      <c r="B34" s="162" t="s">
        <v>365</v>
      </c>
      <c r="C34" s="47"/>
      <c r="D34" s="46">
        <v>14155672.79</v>
      </c>
    </row>
    <row r="35" spans="1:4" ht="16.5" customHeight="1">
      <c r="A35" s="161" t="s">
        <v>479</v>
      </c>
      <c r="B35" s="162" t="s">
        <v>480</v>
      </c>
      <c r="C35" s="47"/>
      <c r="D35" s="46">
        <v>785920</v>
      </c>
    </row>
    <row r="36" spans="1:4" ht="16.5" customHeight="1">
      <c r="A36" s="161"/>
      <c r="B36" s="162"/>
      <c r="C36" s="47"/>
      <c r="D36" s="46"/>
    </row>
    <row r="37" spans="1:4" ht="16.5" customHeight="1">
      <c r="A37" s="161"/>
      <c r="B37" s="162"/>
      <c r="C37" s="47"/>
      <c r="D37" s="46"/>
    </row>
    <row r="38" spans="1:4" ht="16.5" customHeight="1">
      <c r="A38" s="161"/>
      <c r="B38" s="162"/>
      <c r="C38" s="47"/>
      <c r="D38" s="46"/>
    </row>
    <row r="39" spans="1:4" ht="16.5" customHeight="1">
      <c r="A39" s="161"/>
      <c r="B39" s="162"/>
      <c r="C39" s="47"/>
      <c r="D39" s="46"/>
    </row>
    <row r="40" spans="1:4" ht="16.5" customHeight="1">
      <c r="A40" s="161"/>
      <c r="B40" s="162"/>
      <c r="C40" s="47"/>
      <c r="D40" s="46"/>
    </row>
    <row r="41" spans="2:5" ht="16.5" customHeight="1">
      <c r="B41" s="163"/>
      <c r="C41" s="6">
        <f>SUM(C5:C40)</f>
        <v>34956598.5</v>
      </c>
      <c r="D41" s="7">
        <f>SUM(D30:D40)</f>
        <v>34956598.5</v>
      </c>
      <c r="E41" s="164"/>
    </row>
    <row r="42" spans="2:5" ht="16.5" customHeight="1">
      <c r="B42" s="163"/>
      <c r="C42" s="286"/>
      <c r="E42" s="161"/>
    </row>
    <row r="43" spans="2:5" ht="16.5" customHeight="1">
      <c r="B43" s="163"/>
      <c r="C43" s="286"/>
      <c r="E43" s="161"/>
    </row>
    <row r="44" spans="1:4" ht="16.5" customHeight="1">
      <c r="A44" s="290" t="s">
        <v>121</v>
      </c>
      <c r="B44" s="290"/>
      <c r="C44" s="290"/>
      <c r="D44" s="290"/>
    </row>
    <row r="45" spans="1:4" ht="16.5" customHeight="1">
      <c r="A45" s="290" t="s">
        <v>122</v>
      </c>
      <c r="B45" s="290"/>
      <c r="C45" s="290"/>
      <c r="D45" s="290"/>
    </row>
    <row r="46" spans="1:4" ht="16.5" customHeight="1">
      <c r="A46" s="165"/>
      <c r="B46" s="165"/>
      <c r="C46" s="165"/>
      <c r="D46" s="165"/>
    </row>
    <row r="47" spans="1:4" ht="16.5" customHeight="1">
      <c r="A47" s="166" t="s">
        <v>120</v>
      </c>
      <c r="B47" s="165"/>
      <c r="C47" s="10"/>
      <c r="D47" s="10"/>
    </row>
    <row r="48" spans="1:4" ht="16.5" customHeight="1">
      <c r="A48" s="166"/>
      <c r="B48" s="165"/>
      <c r="C48" s="10"/>
      <c r="D48" s="10"/>
    </row>
    <row r="49" spans="1:4" ht="16.5" customHeight="1">
      <c r="A49" s="159" t="s">
        <v>119</v>
      </c>
      <c r="B49" s="159"/>
      <c r="C49" s="4"/>
      <c r="D49" s="4"/>
    </row>
    <row r="50" spans="1:4" ht="16.5" customHeight="1">
      <c r="A50" s="159" t="s">
        <v>15</v>
      </c>
      <c r="B50" s="159"/>
      <c r="C50" s="4"/>
      <c r="D50" s="4"/>
    </row>
    <row r="51" spans="1:4" ht="16.5" customHeight="1">
      <c r="A51" s="155" t="s">
        <v>509</v>
      </c>
      <c r="B51" s="155"/>
      <c r="C51" s="86"/>
      <c r="D51" s="86"/>
    </row>
    <row r="52" spans="1:4" ht="16.5" customHeight="1">
      <c r="A52" s="155"/>
      <c r="B52" s="155"/>
      <c r="C52" s="86"/>
      <c r="D52" s="86"/>
    </row>
    <row r="53" spans="1:4" ht="16.5" customHeight="1">
      <c r="A53" s="155"/>
      <c r="B53" s="155"/>
      <c r="C53" s="86"/>
      <c r="D53" s="86"/>
    </row>
    <row r="54" spans="1:4" ht="16.5" customHeight="1">
      <c r="A54" s="155"/>
      <c r="B54" s="155"/>
      <c r="C54" s="86"/>
      <c r="D54" s="86"/>
    </row>
    <row r="55" spans="1:4" ht="16.5" customHeight="1">
      <c r="A55" s="155"/>
      <c r="B55" s="155"/>
      <c r="C55" s="86"/>
      <c r="D55" s="86"/>
    </row>
    <row r="56" spans="1:4" ht="16.5" customHeight="1">
      <c r="A56" s="288" t="s">
        <v>57</v>
      </c>
      <c r="B56" s="288"/>
      <c r="C56" s="288"/>
      <c r="D56" s="288"/>
    </row>
    <row r="57" spans="1:4" ht="16.5" customHeight="1">
      <c r="A57" s="289" t="s">
        <v>436</v>
      </c>
      <c r="B57" s="289"/>
      <c r="C57" s="289"/>
      <c r="D57" s="289"/>
    </row>
    <row r="58" spans="1:4" ht="16.5" customHeight="1">
      <c r="A58" s="289" t="s">
        <v>515</v>
      </c>
      <c r="B58" s="289"/>
      <c r="C58" s="289"/>
      <c r="D58" s="289"/>
    </row>
    <row r="59" spans="1:11" ht="16.5" customHeight="1">
      <c r="A59" s="159"/>
      <c r="B59" s="159"/>
      <c r="C59" s="159"/>
      <c r="D59" s="159"/>
      <c r="K59" s="354"/>
    </row>
    <row r="60" spans="1:13" ht="16.5" customHeight="1">
      <c r="A60" s="166" t="s">
        <v>437</v>
      </c>
      <c r="B60" s="159"/>
      <c r="C60" s="159"/>
      <c r="D60" s="159"/>
      <c r="M60" s="353"/>
    </row>
    <row r="61" spans="1:4" ht="16.5" customHeight="1">
      <c r="A61" s="166"/>
      <c r="B61" s="159"/>
      <c r="C61" s="159"/>
      <c r="D61" s="159" t="s">
        <v>70</v>
      </c>
    </row>
    <row r="62" spans="1:4" ht="16.5" customHeight="1">
      <c r="A62" s="166" t="s">
        <v>17</v>
      </c>
      <c r="B62" s="159"/>
      <c r="C62" s="4"/>
      <c r="D62" s="49">
        <v>387099</v>
      </c>
    </row>
    <row r="63" spans="1:4" ht="16.5" customHeight="1">
      <c r="A63" s="166" t="s">
        <v>368</v>
      </c>
      <c r="B63" s="159"/>
      <c r="C63" s="4"/>
      <c r="D63" s="49">
        <v>13280.9</v>
      </c>
    </row>
    <row r="64" spans="1:4" ht="16.5" customHeight="1">
      <c r="A64" s="156" t="s">
        <v>18</v>
      </c>
      <c r="D64" s="8">
        <v>8023.26</v>
      </c>
    </row>
    <row r="65" spans="1:4" ht="16.5" customHeight="1">
      <c r="A65" s="166" t="s">
        <v>76</v>
      </c>
      <c r="D65" s="8">
        <v>1136041.71</v>
      </c>
    </row>
    <row r="66" ht="16.5" customHeight="1">
      <c r="A66" s="161"/>
    </row>
    <row r="67" spans="1:4" ht="16.5" customHeight="1">
      <c r="A67" s="161"/>
      <c r="D67" s="351"/>
    </row>
    <row r="68" spans="1:4" ht="16.5" customHeight="1" thickBot="1">
      <c r="A68" s="161"/>
      <c r="C68" s="12" t="s">
        <v>19</v>
      </c>
      <c r="D68" s="352">
        <f>SUM(D62:D67)</f>
        <v>1544444.87</v>
      </c>
    </row>
    <row r="69" ht="16.5" customHeight="1" thickTop="1">
      <c r="A69" s="161"/>
    </row>
    <row r="70" ht="16.5" customHeight="1">
      <c r="A70" s="161"/>
    </row>
    <row r="71" spans="1:7" ht="16.5" customHeight="1">
      <c r="A71" s="161"/>
      <c r="G71" s="161"/>
    </row>
    <row r="72" spans="4:7" ht="16.5" customHeight="1">
      <c r="D72" s="13"/>
      <c r="G72" s="281"/>
    </row>
    <row r="73" ht="16.5" customHeight="1">
      <c r="D73" s="13"/>
    </row>
    <row r="74" ht="16.5" customHeight="1">
      <c r="D74" s="13"/>
    </row>
    <row r="75" spans="1:4" ht="16.5" customHeight="1">
      <c r="A75" s="169"/>
      <c r="D75" s="13"/>
    </row>
    <row r="76" spans="1:4" ht="16.5" customHeight="1">
      <c r="A76" s="169"/>
      <c r="D76" s="13"/>
    </row>
    <row r="77" spans="1:4" ht="16.5" customHeight="1">
      <c r="A77" s="169"/>
      <c r="D77" s="13"/>
    </row>
    <row r="78" spans="1:4" ht="16.5" customHeight="1">
      <c r="A78" s="169"/>
      <c r="D78" s="13"/>
    </row>
    <row r="79" spans="1:4" ht="16.5" customHeight="1">
      <c r="A79" s="159"/>
      <c r="D79" s="13"/>
    </row>
    <row r="80" spans="2:4" ht="16.5" customHeight="1">
      <c r="B80" s="156"/>
      <c r="C80" s="2"/>
      <c r="D80" s="2"/>
    </row>
    <row r="81" spans="2:4" ht="16.5" customHeight="1">
      <c r="B81" s="156"/>
      <c r="C81" s="2"/>
      <c r="D81" s="2"/>
    </row>
    <row r="82" spans="2:4" ht="16.5" customHeight="1">
      <c r="B82" s="156"/>
      <c r="C82" s="2"/>
      <c r="D82" s="2"/>
    </row>
    <row r="83" spans="2:4" ht="16.5" customHeight="1">
      <c r="B83" s="156"/>
      <c r="C83" s="2"/>
      <c r="D83" s="2"/>
    </row>
    <row r="84" spans="2:4" ht="16.5" customHeight="1">
      <c r="B84" s="156"/>
      <c r="C84" s="2"/>
      <c r="D84" s="2"/>
    </row>
    <row r="85" spans="2:4" ht="16.5" customHeight="1">
      <c r="B85" s="156"/>
      <c r="C85" s="2"/>
      <c r="D85" s="2"/>
    </row>
    <row r="86" spans="2:4" ht="16.5" customHeight="1">
      <c r="B86" s="156"/>
      <c r="C86" s="2"/>
      <c r="D86" s="2"/>
    </row>
    <row r="87" spans="2:4" ht="16.5" customHeight="1">
      <c r="B87" s="156"/>
      <c r="C87" s="2"/>
      <c r="D87" s="2"/>
    </row>
    <row r="88" spans="2:4" ht="16.5" customHeight="1">
      <c r="B88" s="156"/>
      <c r="C88" s="2"/>
      <c r="D88" s="2"/>
    </row>
    <row r="89" spans="2:4" ht="16.5" customHeight="1">
      <c r="B89" s="156"/>
      <c r="C89" s="2"/>
      <c r="D89" s="2"/>
    </row>
    <row r="90" spans="2:4" ht="16.5" customHeight="1">
      <c r="B90" s="156"/>
      <c r="C90" s="2"/>
      <c r="D90" s="2"/>
    </row>
    <row r="91" spans="2:4" ht="16.5" customHeight="1">
      <c r="B91" s="156"/>
      <c r="C91" s="2"/>
      <c r="D91" s="2"/>
    </row>
    <row r="92" spans="2:4" ht="16.5" customHeight="1">
      <c r="B92" s="156"/>
      <c r="C92" s="2"/>
      <c r="D92" s="2"/>
    </row>
    <row r="93" spans="2:4" ht="16.5" customHeight="1">
      <c r="B93" s="156"/>
      <c r="C93" s="2"/>
      <c r="D93" s="2"/>
    </row>
    <row r="94" spans="2:4" ht="16.5" customHeight="1">
      <c r="B94" s="156"/>
      <c r="C94" s="2"/>
      <c r="D94" s="2"/>
    </row>
    <row r="95" spans="2:4" ht="16.5" customHeight="1">
      <c r="B95" s="156"/>
      <c r="C95" s="2"/>
      <c r="D95" s="2"/>
    </row>
    <row r="96" spans="2:4" ht="16.5" customHeight="1">
      <c r="B96" s="156"/>
      <c r="C96" s="2"/>
      <c r="D96" s="2"/>
    </row>
    <row r="97" spans="2:4" ht="16.5" customHeight="1">
      <c r="B97" s="156"/>
      <c r="C97" s="2"/>
      <c r="D97" s="2"/>
    </row>
    <row r="98" spans="2:4" ht="16.5" customHeight="1">
      <c r="B98" s="156"/>
      <c r="C98" s="2"/>
      <c r="D98" s="2"/>
    </row>
    <row r="99" spans="2:4" ht="16.5" customHeight="1">
      <c r="B99" s="156"/>
      <c r="C99" s="2"/>
      <c r="D99" s="2"/>
    </row>
    <row r="100" spans="2:4" ht="16.5" customHeight="1">
      <c r="B100" s="156"/>
      <c r="C100" s="2"/>
      <c r="D100" s="2"/>
    </row>
    <row r="101" spans="2:4" ht="16.5" customHeight="1">
      <c r="B101" s="156"/>
      <c r="C101" s="2"/>
      <c r="D101" s="2"/>
    </row>
    <row r="102" spans="2:4" ht="16.5" customHeight="1">
      <c r="B102" s="156"/>
      <c r="C102" s="2"/>
      <c r="D102" s="2"/>
    </row>
    <row r="103" spans="2:4" ht="16.5" customHeight="1">
      <c r="B103" s="156"/>
      <c r="C103" s="2"/>
      <c r="D103" s="2"/>
    </row>
    <row r="104" spans="2:4" ht="16.5" customHeight="1">
      <c r="B104" s="156"/>
      <c r="C104" s="2"/>
      <c r="D104" s="2"/>
    </row>
    <row r="105" spans="2:4" ht="16.5" customHeight="1">
      <c r="B105" s="156"/>
      <c r="C105" s="2"/>
      <c r="D105" s="2"/>
    </row>
    <row r="106" spans="2:4" ht="16.5" customHeight="1">
      <c r="B106" s="156"/>
      <c r="C106" s="2"/>
      <c r="D106" s="2"/>
    </row>
    <row r="107" spans="2:4" ht="16.5" customHeight="1">
      <c r="B107" s="156"/>
      <c r="C107" s="2"/>
      <c r="D107" s="2"/>
    </row>
    <row r="108" spans="2:4" ht="16.5" customHeight="1">
      <c r="B108" s="156"/>
      <c r="C108" s="2"/>
      <c r="D108" s="2"/>
    </row>
    <row r="109" spans="2:4" ht="16.5" customHeight="1">
      <c r="B109" s="156"/>
      <c r="C109" s="2"/>
      <c r="D109" s="2"/>
    </row>
    <row r="110" spans="2:4" ht="16.5" customHeight="1">
      <c r="B110" s="156"/>
      <c r="C110" s="2"/>
      <c r="D110" s="2"/>
    </row>
    <row r="111" spans="2:4" ht="16.5" customHeight="1">
      <c r="B111" s="156"/>
      <c r="C111" s="2"/>
      <c r="D111" s="2"/>
    </row>
    <row r="112" spans="2:4" ht="16.5" customHeight="1">
      <c r="B112" s="156"/>
      <c r="C112" s="2"/>
      <c r="D112" s="2"/>
    </row>
    <row r="113" spans="2:4" ht="16.5" customHeight="1">
      <c r="B113" s="156"/>
      <c r="C113" s="2"/>
      <c r="D113" s="2"/>
    </row>
    <row r="114" spans="2:4" ht="16.5" customHeight="1">
      <c r="B114" s="156"/>
      <c r="C114" s="2"/>
      <c r="D114" s="2"/>
    </row>
    <row r="115" spans="2:4" ht="16.5" customHeight="1">
      <c r="B115" s="156"/>
      <c r="C115" s="2"/>
      <c r="D115" s="2"/>
    </row>
    <row r="116" spans="2:4" ht="16.5" customHeight="1">
      <c r="B116" s="156"/>
      <c r="C116" s="2"/>
      <c r="D116" s="2"/>
    </row>
    <row r="117" spans="2:4" ht="16.5" customHeight="1">
      <c r="B117" s="156"/>
      <c r="C117" s="2"/>
      <c r="D117" s="2"/>
    </row>
    <row r="118" spans="2:4" ht="16.5" customHeight="1">
      <c r="B118" s="156"/>
      <c r="C118" s="2"/>
      <c r="D118" s="2"/>
    </row>
    <row r="119" spans="2:4" ht="16.5" customHeight="1">
      <c r="B119" s="156"/>
      <c r="C119" s="2"/>
      <c r="D119" s="2"/>
    </row>
    <row r="120" spans="2:4" ht="16.5" customHeight="1">
      <c r="B120" s="156"/>
      <c r="C120" s="2"/>
      <c r="D120" s="2"/>
    </row>
    <row r="121" spans="2:4" ht="16.5" customHeight="1">
      <c r="B121" s="156"/>
      <c r="C121" s="2"/>
      <c r="D121" s="2"/>
    </row>
    <row r="122" spans="2:4" ht="16.5" customHeight="1">
      <c r="B122" s="156"/>
      <c r="C122" s="2"/>
      <c r="D122" s="2"/>
    </row>
    <row r="123" spans="2:4" ht="16.5" customHeight="1">
      <c r="B123" s="156"/>
      <c r="C123" s="2"/>
      <c r="D123" s="2"/>
    </row>
    <row r="124" spans="2:4" ht="16.5" customHeight="1">
      <c r="B124" s="156"/>
      <c r="C124" s="2"/>
      <c r="D124" s="2"/>
    </row>
    <row r="125" spans="2:4" ht="16.5" customHeight="1">
      <c r="B125" s="156"/>
      <c r="C125" s="2"/>
      <c r="D125" s="2"/>
    </row>
    <row r="126" spans="2:4" ht="16.5" customHeight="1">
      <c r="B126" s="156"/>
      <c r="C126" s="2"/>
      <c r="D126" s="2"/>
    </row>
    <row r="127" spans="2:4" ht="16.5" customHeight="1">
      <c r="B127" s="156"/>
      <c r="C127" s="2"/>
      <c r="D127" s="2"/>
    </row>
    <row r="128" spans="2:4" ht="16.5" customHeight="1">
      <c r="B128" s="156"/>
      <c r="C128" s="2"/>
      <c r="D128" s="2"/>
    </row>
    <row r="129" spans="2:4" ht="16.5" customHeight="1">
      <c r="B129" s="156"/>
      <c r="C129" s="2"/>
      <c r="D129" s="2"/>
    </row>
    <row r="130" spans="2:4" ht="16.5" customHeight="1">
      <c r="B130" s="156"/>
      <c r="C130" s="2"/>
      <c r="D130" s="2"/>
    </row>
    <row r="131" spans="2:4" ht="16.5" customHeight="1">
      <c r="B131" s="156"/>
      <c r="C131" s="2"/>
      <c r="D131" s="2"/>
    </row>
    <row r="132" spans="2:4" ht="16.5" customHeight="1">
      <c r="B132" s="156"/>
      <c r="C132" s="2"/>
      <c r="D132" s="2"/>
    </row>
    <row r="133" spans="2:4" ht="16.5" customHeight="1">
      <c r="B133" s="156"/>
      <c r="C133" s="2"/>
      <c r="D133" s="2"/>
    </row>
    <row r="134" spans="2:4" ht="16.5" customHeight="1">
      <c r="B134" s="156"/>
      <c r="C134" s="2"/>
      <c r="D134" s="2"/>
    </row>
    <row r="135" spans="2:4" ht="16.5" customHeight="1">
      <c r="B135" s="156"/>
      <c r="C135" s="2"/>
      <c r="D135" s="2"/>
    </row>
    <row r="136" spans="2:4" ht="16.5" customHeight="1">
      <c r="B136" s="156"/>
      <c r="C136" s="2"/>
      <c r="D136" s="2"/>
    </row>
    <row r="137" spans="2:4" ht="16.5" customHeight="1">
      <c r="B137" s="156"/>
      <c r="C137" s="2"/>
      <c r="D137" s="2"/>
    </row>
    <row r="138" spans="2:4" ht="16.5" customHeight="1">
      <c r="B138" s="156"/>
      <c r="C138" s="2"/>
      <c r="D138" s="2"/>
    </row>
    <row r="139" spans="2:4" ht="16.5" customHeight="1">
      <c r="B139" s="156"/>
      <c r="C139" s="2"/>
      <c r="D139" s="2"/>
    </row>
    <row r="140" spans="2:4" ht="16.5" customHeight="1">
      <c r="B140" s="156"/>
      <c r="C140" s="2"/>
      <c r="D140" s="2"/>
    </row>
    <row r="141" spans="2:4" ht="16.5" customHeight="1">
      <c r="B141" s="156"/>
      <c r="C141" s="2"/>
      <c r="D141" s="2"/>
    </row>
    <row r="142" spans="2:4" ht="16.5" customHeight="1">
      <c r="B142" s="156"/>
      <c r="C142" s="2"/>
      <c r="D142" s="2"/>
    </row>
    <row r="143" spans="2:4" ht="16.5" customHeight="1">
      <c r="B143" s="156"/>
      <c r="C143" s="2"/>
      <c r="D143" s="2"/>
    </row>
    <row r="144" spans="2:4" ht="16.5" customHeight="1">
      <c r="B144" s="156"/>
      <c r="C144" s="2"/>
      <c r="D144" s="2"/>
    </row>
    <row r="145" spans="2:4" ht="16.5" customHeight="1">
      <c r="B145" s="156"/>
      <c r="C145" s="2"/>
      <c r="D145" s="2"/>
    </row>
    <row r="146" spans="2:4" ht="16.5" customHeight="1">
      <c r="B146" s="156"/>
      <c r="C146" s="2"/>
      <c r="D146" s="2"/>
    </row>
    <row r="147" spans="2:4" ht="16.5" customHeight="1">
      <c r="B147" s="156"/>
      <c r="C147" s="2"/>
      <c r="D147" s="2"/>
    </row>
    <row r="148" spans="2:4" ht="16.5" customHeight="1">
      <c r="B148" s="156"/>
      <c r="C148" s="2"/>
      <c r="D148" s="2"/>
    </row>
    <row r="149" spans="2:4" ht="16.5" customHeight="1">
      <c r="B149" s="156"/>
      <c r="C149" s="2"/>
      <c r="D149" s="2"/>
    </row>
    <row r="150" spans="2:4" ht="16.5" customHeight="1">
      <c r="B150" s="156"/>
      <c r="C150" s="2"/>
      <c r="D150" s="2"/>
    </row>
    <row r="151" spans="2:4" ht="16.5" customHeight="1">
      <c r="B151" s="156"/>
      <c r="C151" s="2"/>
      <c r="D151" s="2"/>
    </row>
    <row r="152" spans="2:4" ht="16.5" customHeight="1">
      <c r="B152" s="156"/>
      <c r="C152" s="2"/>
      <c r="D152" s="2"/>
    </row>
    <row r="153" spans="2:4" ht="16.5" customHeight="1">
      <c r="B153" s="156"/>
      <c r="C153" s="2"/>
      <c r="D153" s="2"/>
    </row>
    <row r="154" spans="2:4" ht="16.5" customHeight="1">
      <c r="B154" s="156"/>
      <c r="C154" s="2"/>
      <c r="D154" s="2"/>
    </row>
    <row r="155" spans="2:4" ht="16.5" customHeight="1">
      <c r="B155" s="156"/>
      <c r="C155" s="2"/>
      <c r="D155" s="2"/>
    </row>
    <row r="156" spans="2:4" ht="16.5" customHeight="1">
      <c r="B156" s="156"/>
      <c r="C156" s="2"/>
      <c r="D156" s="2"/>
    </row>
    <row r="157" spans="2:4" ht="16.5" customHeight="1">
      <c r="B157" s="156"/>
      <c r="C157" s="2"/>
      <c r="D157" s="2"/>
    </row>
    <row r="158" spans="2:4" ht="16.5" customHeight="1">
      <c r="B158" s="156"/>
      <c r="C158" s="2"/>
      <c r="D158" s="2"/>
    </row>
    <row r="159" spans="2:4" ht="16.5" customHeight="1">
      <c r="B159" s="156"/>
      <c r="C159" s="2"/>
      <c r="D159" s="2"/>
    </row>
    <row r="160" spans="2:4" ht="16.5" customHeight="1">
      <c r="B160" s="156"/>
      <c r="C160" s="2"/>
      <c r="D160" s="2"/>
    </row>
    <row r="161" spans="2:4" ht="16.5" customHeight="1">
      <c r="B161" s="156"/>
      <c r="C161" s="2"/>
      <c r="D161" s="2"/>
    </row>
    <row r="162" spans="2:4" ht="16.5" customHeight="1">
      <c r="B162" s="156"/>
      <c r="C162" s="2"/>
      <c r="D162" s="2"/>
    </row>
    <row r="163" spans="2:4" ht="16.5" customHeight="1">
      <c r="B163" s="156"/>
      <c r="C163" s="2"/>
      <c r="D163" s="2"/>
    </row>
    <row r="164" spans="2:4" ht="16.5" customHeight="1">
      <c r="B164" s="156"/>
      <c r="C164" s="2"/>
      <c r="D164" s="2"/>
    </row>
    <row r="165" spans="2:4" ht="16.5" customHeight="1">
      <c r="B165" s="156"/>
      <c r="C165" s="2"/>
      <c r="D165" s="2"/>
    </row>
    <row r="166" spans="2:4" ht="16.5" customHeight="1">
      <c r="B166" s="156"/>
      <c r="C166" s="2"/>
      <c r="D166" s="2"/>
    </row>
    <row r="167" spans="2:4" ht="16.5" customHeight="1">
      <c r="B167" s="156"/>
      <c r="C167" s="2"/>
      <c r="D167" s="2"/>
    </row>
    <row r="168" spans="2:4" ht="16.5" customHeight="1">
      <c r="B168" s="156"/>
      <c r="C168" s="2"/>
      <c r="D168" s="2"/>
    </row>
    <row r="169" spans="2:4" ht="16.5" customHeight="1">
      <c r="B169" s="156"/>
      <c r="C169" s="2"/>
      <c r="D169" s="2"/>
    </row>
    <row r="170" spans="2:4" ht="16.5" customHeight="1">
      <c r="B170" s="156"/>
      <c r="C170" s="2"/>
      <c r="D170" s="2"/>
    </row>
    <row r="171" spans="2:4" ht="16.5" customHeight="1">
      <c r="B171" s="156"/>
      <c r="C171" s="2"/>
      <c r="D171" s="2"/>
    </row>
    <row r="172" spans="2:4" ht="16.5" customHeight="1">
      <c r="B172" s="156"/>
      <c r="C172" s="2"/>
      <c r="D172" s="2"/>
    </row>
    <row r="173" spans="2:4" ht="16.5" customHeight="1">
      <c r="B173" s="156"/>
      <c r="C173" s="2"/>
      <c r="D173" s="2"/>
    </row>
    <row r="174" spans="2:4" ht="16.5" customHeight="1">
      <c r="B174" s="156"/>
      <c r="C174" s="2"/>
      <c r="D174" s="2"/>
    </row>
    <row r="175" spans="2:4" ht="16.5" customHeight="1">
      <c r="B175" s="156"/>
      <c r="C175" s="2"/>
      <c r="D175" s="2"/>
    </row>
    <row r="176" spans="2:4" ht="16.5" customHeight="1">
      <c r="B176" s="156"/>
      <c r="C176" s="2"/>
      <c r="D176" s="2"/>
    </row>
    <row r="177" spans="2:4" ht="16.5" customHeight="1">
      <c r="B177" s="156"/>
      <c r="C177" s="2"/>
      <c r="D177" s="2"/>
    </row>
    <row r="178" spans="2:4" ht="16.5" customHeight="1">
      <c r="B178" s="156"/>
      <c r="C178" s="2"/>
      <c r="D178" s="2"/>
    </row>
    <row r="179" spans="2:4" ht="16.5" customHeight="1">
      <c r="B179" s="156"/>
      <c r="C179" s="2"/>
      <c r="D179" s="2"/>
    </row>
    <row r="180" spans="2:4" ht="16.5" customHeight="1">
      <c r="B180" s="156"/>
      <c r="C180" s="2"/>
      <c r="D180" s="2"/>
    </row>
    <row r="181" spans="2:4" ht="16.5" customHeight="1">
      <c r="B181" s="156"/>
      <c r="C181" s="2"/>
      <c r="D181" s="2"/>
    </row>
    <row r="182" spans="2:4" ht="16.5" customHeight="1">
      <c r="B182" s="156"/>
      <c r="C182" s="2"/>
      <c r="D182" s="2"/>
    </row>
    <row r="183" spans="2:4" ht="16.5" customHeight="1">
      <c r="B183" s="156"/>
      <c r="C183" s="2"/>
      <c r="D183" s="2"/>
    </row>
    <row r="184" spans="2:4" ht="16.5" customHeight="1">
      <c r="B184" s="156"/>
      <c r="C184" s="2"/>
      <c r="D184" s="2"/>
    </row>
    <row r="185" spans="2:4" ht="16.5" customHeight="1">
      <c r="B185" s="156"/>
      <c r="C185" s="2"/>
      <c r="D185" s="2"/>
    </row>
    <row r="186" spans="2:4" ht="16.5" customHeight="1">
      <c r="B186" s="156"/>
      <c r="C186" s="2"/>
      <c r="D186" s="2"/>
    </row>
    <row r="187" spans="2:4" ht="16.5" customHeight="1">
      <c r="B187" s="156"/>
      <c r="C187" s="2"/>
      <c r="D187" s="2"/>
    </row>
    <row r="188" spans="2:4" ht="16.5" customHeight="1">
      <c r="B188" s="156"/>
      <c r="C188" s="2"/>
      <c r="D188" s="2"/>
    </row>
    <row r="189" spans="2:4" ht="16.5" customHeight="1">
      <c r="B189" s="156"/>
      <c r="C189" s="2"/>
      <c r="D189" s="2"/>
    </row>
    <row r="190" spans="2:4" ht="16.5" customHeight="1">
      <c r="B190" s="156"/>
      <c r="C190" s="2"/>
      <c r="D190" s="2"/>
    </row>
    <row r="191" spans="2:4" ht="16.5" customHeight="1">
      <c r="B191" s="156"/>
      <c r="C191" s="2"/>
      <c r="D191" s="2"/>
    </row>
    <row r="192" spans="2:4" ht="16.5" customHeight="1">
      <c r="B192" s="156"/>
      <c r="C192" s="2"/>
      <c r="D192" s="2"/>
    </row>
    <row r="193" spans="2:4" ht="16.5" customHeight="1">
      <c r="B193" s="156"/>
      <c r="C193" s="2"/>
      <c r="D193" s="2"/>
    </row>
    <row r="194" spans="2:4" ht="16.5" customHeight="1">
      <c r="B194" s="156"/>
      <c r="C194" s="2"/>
      <c r="D194" s="2"/>
    </row>
    <row r="195" spans="2:4" ht="16.5" customHeight="1">
      <c r="B195" s="156"/>
      <c r="C195" s="2"/>
      <c r="D195" s="2"/>
    </row>
    <row r="196" spans="2:4" ht="16.5" customHeight="1">
      <c r="B196" s="156"/>
      <c r="C196" s="2"/>
      <c r="D196" s="2"/>
    </row>
    <row r="197" spans="2:4" ht="16.5" customHeight="1">
      <c r="B197" s="156"/>
      <c r="C197" s="2"/>
      <c r="D197" s="2"/>
    </row>
    <row r="198" spans="2:4" ht="16.5" customHeight="1">
      <c r="B198" s="156"/>
      <c r="C198" s="2"/>
      <c r="D198" s="2"/>
    </row>
    <row r="199" spans="2:4" ht="16.5" customHeight="1">
      <c r="B199" s="156"/>
      <c r="C199" s="2"/>
      <c r="D199" s="2"/>
    </row>
    <row r="200" spans="2:4" ht="16.5" customHeight="1">
      <c r="B200" s="156"/>
      <c r="C200" s="2"/>
      <c r="D200" s="2"/>
    </row>
    <row r="201" spans="2:4" ht="16.5" customHeight="1">
      <c r="B201" s="156"/>
      <c r="C201" s="2"/>
      <c r="D201" s="2"/>
    </row>
    <row r="202" spans="2:4" ht="16.5" customHeight="1">
      <c r="B202" s="156"/>
      <c r="C202" s="2"/>
      <c r="D202" s="2"/>
    </row>
    <row r="203" spans="2:4" ht="16.5" customHeight="1">
      <c r="B203" s="156"/>
      <c r="C203" s="2"/>
      <c r="D203" s="2"/>
    </row>
    <row r="204" spans="2:4" ht="16.5" customHeight="1">
      <c r="B204" s="156"/>
      <c r="C204" s="2"/>
      <c r="D204" s="2"/>
    </row>
    <row r="205" spans="2:4" ht="16.5" customHeight="1">
      <c r="B205" s="156"/>
      <c r="C205" s="2"/>
      <c r="D205" s="2"/>
    </row>
    <row r="206" spans="2:4" ht="16.5" customHeight="1">
      <c r="B206" s="156"/>
      <c r="C206" s="2"/>
      <c r="D206" s="2"/>
    </row>
    <row r="207" spans="2:4" ht="16.5" customHeight="1">
      <c r="B207" s="156"/>
      <c r="C207" s="2"/>
      <c r="D207" s="2"/>
    </row>
    <row r="208" spans="2:4" ht="16.5" customHeight="1">
      <c r="B208" s="156"/>
      <c r="C208" s="2"/>
      <c r="D208" s="2"/>
    </row>
    <row r="209" spans="2:4" ht="16.5" customHeight="1">
      <c r="B209" s="156"/>
      <c r="C209" s="2"/>
      <c r="D209" s="2"/>
    </row>
    <row r="210" spans="2:4" ht="16.5" customHeight="1">
      <c r="B210" s="156"/>
      <c r="C210" s="2"/>
      <c r="D210" s="2"/>
    </row>
    <row r="211" spans="2:4" ht="16.5" customHeight="1">
      <c r="B211" s="156"/>
      <c r="C211" s="2"/>
      <c r="D211" s="2"/>
    </row>
    <row r="212" spans="2:4" ht="16.5" customHeight="1">
      <c r="B212" s="156"/>
      <c r="C212" s="2"/>
      <c r="D212" s="2"/>
    </row>
    <row r="213" spans="2:4" ht="16.5" customHeight="1">
      <c r="B213" s="156"/>
      <c r="C213" s="2"/>
      <c r="D213" s="2"/>
    </row>
    <row r="214" spans="2:4" ht="16.5" customHeight="1">
      <c r="B214" s="156"/>
      <c r="C214" s="2"/>
      <c r="D214" s="2"/>
    </row>
    <row r="215" spans="2:4" ht="16.5" customHeight="1">
      <c r="B215" s="156"/>
      <c r="C215" s="2"/>
      <c r="D215" s="2"/>
    </row>
    <row r="216" spans="2:4" ht="16.5" customHeight="1">
      <c r="B216" s="156"/>
      <c r="C216" s="2"/>
      <c r="D216" s="2"/>
    </row>
    <row r="217" spans="2:4" ht="16.5" customHeight="1">
      <c r="B217" s="156"/>
      <c r="C217" s="2"/>
      <c r="D217" s="2"/>
    </row>
    <row r="218" spans="2:4" ht="16.5" customHeight="1">
      <c r="B218" s="156"/>
      <c r="C218" s="2"/>
      <c r="D218" s="2"/>
    </row>
    <row r="219" spans="2:4" ht="16.5" customHeight="1">
      <c r="B219" s="156"/>
      <c r="C219" s="2"/>
      <c r="D219" s="2"/>
    </row>
    <row r="220" spans="2:4" ht="16.5" customHeight="1">
      <c r="B220" s="156"/>
      <c r="C220" s="2"/>
      <c r="D220" s="2"/>
    </row>
    <row r="221" spans="2:4" ht="16.5" customHeight="1">
      <c r="B221" s="156"/>
      <c r="C221" s="2"/>
      <c r="D221" s="2"/>
    </row>
    <row r="222" spans="2:4" ht="16.5" customHeight="1">
      <c r="B222" s="156"/>
      <c r="C222" s="2"/>
      <c r="D222" s="2"/>
    </row>
    <row r="223" spans="2:4" ht="16.5" customHeight="1">
      <c r="B223" s="156"/>
      <c r="C223" s="2"/>
      <c r="D223" s="2"/>
    </row>
    <row r="224" spans="2:4" ht="16.5" customHeight="1">
      <c r="B224" s="156"/>
      <c r="C224" s="2"/>
      <c r="D224" s="2"/>
    </row>
    <row r="225" spans="2:4" ht="16.5" customHeight="1">
      <c r="B225" s="156"/>
      <c r="C225" s="2"/>
      <c r="D225" s="2"/>
    </row>
    <row r="226" spans="2:4" ht="16.5" customHeight="1">
      <c r="B226" s="156"/>
      <c r="C226" s="2"/>
      <c r="D226" s="2"/>
    </row>
    <row r="227" spans="2:4" ht="16.5" customHeight="1">
      <c r="B227" s="156"/>
      <c r="C227" s="2"/>
      <c r="D227" s="2"/>
    </row>
    <row r="228" spans="2:4" ht="16.5" customHeight="1">
      <c r="B228" s="156"/>
      <c r="C228" s="2"/>
      <c r="D228" s="2"/>
    </row>
    <row r="229" spans="2:4" ht="16.5" customHeight="1">
      <c r="B229" s="156"/>
      <c r="C229" s="2"/>
      <c r="D229" s="2"/>
    </row>
    <row r="230" spans="2:4" ht="16.5" customHeight="1">
      <c r="B230" s="156"/>
      <c r="C230" s="2"/>
      <c r="D230" s="2"/>
    </row>
    <row r="231" spans="2:4" ht="16.5" customHeight="1">
      <c r="B231" s="156"/>
      <c r="C231" s="2"/>
      <c r="D231" s="2"/>
    </row>
    <row r="232" spans="2:4" ht="16.5" customHeight="1">
      <c r="B232" s="156"/>
      <c r="C232" s="2"/>
      <c r="D232" s="2"/>
    </row>
    <row r="233" spans="2:4" ht="16.5" customHeight="1">
      <c r="B233" s="156"/>
      <c r="C233" s="2"/>
      <c r="D233" s="2"/>
    </row>
    <row r="234" spans="2:4" ht="16.5" customHeight="1">
      <c r="B234" s="156"/>
      <c r="C234" s="2"/>
      <c r="D234" s="2"/>
    </row>
    <row r="235" spans="2:4" ht="16.5" customHeight="1">
      <c r="B235" s="156"/>
      <c r="C235" s="2"/>
      <c r="D235" s="2"/>
    </row>
    <row r="236" spans="2:4" ht="16.5" customHeight="1">
      <c r="B236" s="156"/>
      <c r="C236" s="2"/>
      <c r="D236" s="2"/>
    </row>
    <row r="237" spans="2:4" ht="16.5" customHeight="1">
      <c r="B237" s="156"/>
      <c r="C237" s="2"/>
      <c r="D237" s="2"/>
    </row>
    <row r="238" spans="2:4" ht="16.5" customHeight="1">
      <c r="B238" s="156"/>
      <c r="C238" s="2"/>
      <c r="D238" s="2"/>
    </row>
    <row r="239" spans="2:4" ht="16.5" customHeight="1">
      <c r="B239" s="156"/>
      <c r="C239" s="2"/>
      <c r="D239" s="2"/>
    </row>
    <row r="240" spans="2:4" ht="16.5" customHeight="1">
      <c r="B240" s="156"/>
      <c r="C240" s="2"/>
      <c r="D240" s="2"/>
    </row>
    <row r="241" spans="2:4" ht="16.5" customHeight="1">
      <c r="B241" s="156"/>
      <c r="C241" s="2"/>
      <c r="D241" s="2"/>
    </row>
    <row r="242" spans="2:4" ht="16.5" customHeight="1">
      <c r="B242" s="156"/>
      <c r="C242" s="2"/>
      <c r="D242" s="2"/>
    </row>
    <row r="243" spans="2:4" ht="16.5" customHeight="1">
      <c r="B243" s="156"/>
      <c r="C243" s="2"/>
      <c r="D243" s="2"/>
    </row>
    <row r="244" spans="2:4" ht="16.5" customHeight="1">
      <c r="B244" s="156"/>
      <c r="C244" s="2"/>
      <c r="D244" s="2"/>
    </row>
    <row r="245" spans="2:4" ht="16.5" customHeight="1">
      <c r="B245" s="156"/>
      <c r="C245" s="2"/>
      <c r="D245" s="2"/>
    </row>
    <row r="246" spans="2:4" ht="16.5" customHeight="1">
      <c r="B246" s="156"/>
      <c r="C246" s="2"/>
      <c r="D246" s="2"/>
    </row>
    <row r="247" spans="2:4" ht="16.5" customHeight="1">
      <c r="B247" s="156"/>
      <c r="C247" s="2"/>
      <c r="D247" s="2"/>
    </row>
    <row r="248" spans="2:4" ht="16.5" customHeight="1">
      <c r="B248" s="156"/>
      <c r="C248" s="2"/>
      <c r="D248" s="2"/>
    </row>
    <row r="249" spans="2:4" ht="16.5" customHeight="1">
      <c r="B249" s="156"/>
      <c r="C249" s="2"/>
      <c r="D249" s="2"/>
    </row>
    <row r="250" spans="2:4" ht="16.5" customHeight="1">
      <c r="B250" s="156"/>
      <c r="C250" s="2"/>
      <c r="D250" s="2"/>
    </row>
    <row r="251" spans="2:4" ht="16.5" customHeight="1">
      <c r="B251" s="156"/>
      <c r="C251" s="2"/>
      <c r="D251" s="2"/>
    </row>
    <row r="252" spans="2:4" ht="16.5" customHeight="1">
      <c r="B252" s="156"/>
      <c r="C252" s="2"/>
      <c r="D252" s="2"/>
    </row>
    <row r="253" spans="2:4" ht="16.5" customHeight="1">
      <c r="B253" s="156"/>
      <c r="C253" s="2"/>
      <c r="D253" s="2"/>
    </row>
    <row r="254" spans="2:4" ht="16.5" customHeight="1">
      <c r="B254" s="156"/>
      <c r="C254" s="2"/>
      <c r="D254" s="2"/>
    </row>
    <row r="255" spans="2:4" ht="16.5" customHeight="1">
      <c r="B255" s="156"/>
      <c r="C255" s="2"/>
      <c r="D255" s="2"/>
    </row>
    <row r="256" spans="2:4" ht="16.5" customHeight="1">
      <c r="B256" s="156"/>
      <c r="C256" s="2"/>
      <c r="D256" s="2"/>
    </row>
    <row r="257" spans="2:4" ht="16.5" customHeight="1">
      <c r="B257" s="156"/>
      <c r="C257" s="2"/>
      <c r="D257" s="2"/>
    </row>
    <row r="258" spans="2:4" ht="16.5" customHeight="1">
      <c r="B258" s="156"/>
      <c r="C258" s="2"/>
      <c r="D258" s="2"/>
    </row>
    <row r="259" spans="2:4" ht="16.5" customHeight="1">
      <c r="B259" s="156"/>
      <c r="C259" s="2"/>
      <c r="D259" s="2"/>
    </row>
    <row r="260" spans="2:4" ht="16.5" customHeight="1">
      <c r="B260" s="156"/>
      <c r="C260" s="2"/>
      <c r="D260" s="2"/>
    </row>
    <row r="261" spans="2:4" ht="16.5" customHeight="1">
      <c r="B261" s="156"/>
      <c r="C261" s="2"/>
      <c r="D261" s="2"/>
    </row>
    <row r="262" spans="2:4" ht="16.5" customHeight="1">
      <c r="B262" s="156"/>
      <c r="C262" s="2"/>
      <c r="D262" s="2"/>
    </row>
    <row r="263" spans="2:4" ht="16.5" customHeight="1">
      <c r="B263" s="156"/>
      <c r="C263" s="2"/>
      <c r="D263" s="2"/>
    </row>
    <row r="264" spans="2:4" ht="16.5" customHeight="1">
      <c r="B264" s="156"/>
      <c r="C264" s="2"/>
      <c r="D264" s="2"/>
    </row>
    <row r="265" spans="2:4" ht="16.5" customHeight="1">
      <c r="B265" s="156"/>
      <c r="C265" s="2"/>
      <c r="D265" s="2"/>
    </row>
    <row r="266" spans="2:4" ht="16.5" customHeight="1">
      <c r="B266" s="156"/>
      <c r="C266" s="2"/>
      <c r="D266" s="2"/>
    </row>
    <row r="267" spans="2:4" ht="16.5" customHeight="1">
      <c r="B267" s="156"/>
      <c r="C267" s="2"/>
      <c r="D267" s="2"/>
    </row>
    <row r="268" spans="2:4" ht="16.5" customHeight="1">
      <c r="B268" s="156"/>
      <c r="C268" s="2"/>
      <c r="D268" s="2"/>
    </row>
    <row r="269" spans="2:4" ht="16.5" customHeight="1">
      <c r="B269" s="156"/>
      <c r="C269" s="2"/>
      <c r="D269" s="2"/>
    </row>
    <row r="270" spans="2:4" ht="16.5" customHeight="1">
      <c r="B270" s="156"/>
      <c r="C270" s="2"/>
      <c r="D270" s="2"/>
    </row>
    <row r="271" spans="2:4" ht="16.5" customHeight="1">
      <c r="B271" s="156"/>
      <c r="C271" s="2"/>
      <c r="D271" s="2"/>
    </row>
    <row r="272" spans="2:4" ht="16.5" customHeight="1">
      <c r="B272" s="156"/>
      <c r="C272" s="2"/>
      <c r="D272" s="2"/>
    </row>
    <row r="273" spans="2:4" ht="16.5" customHeight="1">
      <c r="B273" s="156"/>
      <c r="C273" s="2"/>
      <c r="D273" s="2"/>
    </row>
    <row r="274" spans="2:4" ht="16.5" customHeight="1">
      <c r="B274" s="156"/>
      <c r="C274" s="2"/>
      <c r="D274" s="2"/>
    </row>
    <row r="275" spans="2:4" ht="16.5" customHeight="1">
      <c r="B275" s="156"/>
      <c r="C275" s="2"/>
      <c r="D275" s="2"/>
    </row>
    <row r="276" spans="2:4" ht="16.5" customHeight="1">
      <c r="B276" s="156"/>
      <c r="C276" s="2"/>
      <c r="D276" s="2"/>
    </row>
    <row r="277" spans="2:4" ht="16.5" customHeight="1">
      <c r="B277" s="156"/>
      <c r="C277" s="2"/>
      <c r="D277" s="2"/>
    </row>
    <row r="278" spans="2:4" ht="16.5" customHeight="1">
      <c r="B278" s="156"/>
      <c r="C278" s="2"/>
      <c r="D278" s="2"/>
    </row>
    <row r="279" spans="2:4" ht="16.5" customHeight="1">
      <c r="B279" s="156"/>
      <c r="C279" s="2"/>
      <c r="D279" s="2"/>
    </row>
    <row r="280" spans="2:4" ht="16.5" customHeight="1">
      <c r="B280" s="156"/>
      <c r="C280" s="2"/>
      <c r="D280" s="2"/>
    </row>
    <row r="281" spans="2:4" ht="16.5" customHeight="1">
      <c r="B281" s="156"/>
      <c r="C281" s="2"/>
      <c r="D281" s="2"/>
    </row>
    <row r="282" spans="2:4" ht="16.5" customHeight="1">
      <c r="B282" s="156"/>
      <c r="C282" s="2"/>
      <c r="D282" s="2"/>
    </row>
    <row r="283" spans="2:4" ht="16.5" customHeight="1">
      <c r="B283" s="156"/>
      <c r="C283" s="2"/>
      <c r="D283" s="2"/>
    </row>
    <row r="284" spans="2:4" ht="16.5" customHeight="1">
      <c r="B284" s="156"/>
      <c r="C284" s="2"/>
      <c r="D284" s="2"/>
    </row>
    <row r="285" spans="2:4" ht="16.5" customHeight="1">
      <c r="B285" s="156"/>
      <c r="C285" s="2"/>
      <c r="D285" s="2"/>
    </row>
    <row r="286" spans="2:4" ht="16.5" customHeight="1">
      <c r="B286" s="156"/>
      <c r="C286" s="2"/>
      <c r="D286" s="2"/>
    </row>
    <row r="287" spans="2:4" ht="16.5" customHeight="1">
      <c r="B287" s="156"/>
      <c r="C287" s="2"/>
      <c r="D287" s="2"/>
    </row>
    <row r="288" spans="2:4" ht="16.5" customHeight="1">
      <c r="B288" s="156"/>
      <c r="C288" s="2"/>
      <c r="D288" s="2"/>
    </row>
    <row r="289" spans="2:4" ht="16.5" customHeight="1">
      <c r="B289" s="156"/>
      <c r="C289" s="2"/>
      <c r="D289" s="2"/>
    </row>
    <row r="290" spans="2:4" ht="16.5" customHeight="1">
      <c r="B290" s="156"/>
      <c r="C290" s="2"/>
      <c r="D290" s="2"/>
    </row>
    <row r="291" spans="2:4" ht="16.5" customHeight="1">
      <c r="B291" s="156"/>
      <c r="C291" s="2"/>
      <c r="D291" s="2"/>
    </row>
    <row r="292" spans="2:4" ht="16.5" customHeight="1">
      <c r="B292" s="156"/>
      <c r="C292" s="2"/>
      <c r="D292" s="2"/>
    </row>
    <row r="293" spans="2:4" ht="16.5" customHeight="1">
      <c r="B293" s="156"/>
      <c r="C293" s="2"/>
      <c r="D293" s="2"/>
    </row>
    <row r="294" spans="2:4" ht="16.5" customHeight="1">
      <c r="B294" s="156"/>
      <c r="C294" s="2"/>
      <c r="D294" s="2"/>
    </row>
    <row r="295" spans="2:4" ht="16.5" customHeight="1">
      <c r="B295" s="156"/>
      <c r="C295" s="2"/>
      <c r="D295" s="2"/>
    </row>
    <row r="296" spans="2:4" ht="16.5" customHeight="1">
      <c r="B296" s="156"/>
      <c r="C296" s="2"/>
      <c r="D296" s="2"/>
    </row>
    <row r="297" spans="2:4" ht="16.5" customHeight="1">
      <c r="B297" s="156"/>
      <c r="C297" s="2"/>
      <c r="D297" s="2"/>
    </row>
    <row r="298" spans="2:4" ht="16.5" customHeight="1">
      <c r="B298" s="156"/>
      <c r="C298" s="2"/>
      <c r="D298" s="2"/>
    </row>
    <row r="299" spans="2:4" ht="16.5" customHeight="1">
      <c r="B299" s="156"/>
      <c r="C299" s="2"/>
      <c r="D299" s="2"/>
    </row>
    <row r="300" spans="2:4" ht="16.5" customHeight="1">
      <c r="B300" s="156"/>
      <c r="C300" s="2"/>
      <c r="D300" s="2"/>
    </row>
    <row r="301" spans="2:4" ht="16.5" customHeight="1">
      <c r="B301" s="156"/>
      <c r="C301" s="2"/>
      <c r="D301" s="2"/>
    </row>
    <row r="302" spans="2:4" ht="16.5" customHeight="1">
      <c r="B302" s="156"/>
      <c r="C302" s="2"/>
      <c r="D302" s="2"/>
    </row>
    <row r="303" spans="2:4" ht="16.5" customHeight="1">
      <c r="B303" s="156"/>
      <c r="C303" s="2"/>
      <c r="D303" s="2"/>
    </row>
    <row r="304" spans="2:4" ht="16.5" customHeight="1">
      <c r="B304" s="156"/>
      <c r="C304" s="2"/>
      <c r="D304" s="2"/>
    </row>
    <row r="305" spans="2:4" ht="16.5" customHeight="1">
      <c r="B305" s="156"/>
      <c r="C305" s="2"/>
      <c r="D305" s="2"/>
    </row>
    <row r="306" spans="2:4" ht="16.5" customHeight="1">
      <c r="B306" s="156"/>
      <c r="C306" s="2"/>
      <c r="D306" s="2"/>
    </row>
    <row r="307" spans="2:4" ht="16.5" customHeight="1">
      <c r="B307" s="156"/>
      <c r="C307" s="2"/>
      <c r="D307" s="2"/>
    </row>
    <row r="308" spans="2:4" ht="16.5" customHeight="1">
      <c r="B308" s="156"/>
      <c r="C308" s="2"/>
      <c r="D308" s="2"/>
    </row>
    <row r="309" spans="2:4" ht="16.5" customHeight="1">
      <c r="B309" s="156"/>
      <c r="C309" s="2"/>
      <c r="D309" s="2"/>
    </row>
    <row r="310" spans="2:4" ht="16.5" customHeight="1">
      <c r="B310" s="156"/>
      <c r="C310" s="2"/>
      <c r="D310" s="2"/>
    </row>
    <row r="311" spans="2:4" ht="16.5" customHeight="1">
      <c r="B311" s="156"/>
      <c r="C311" s="2"/>
      <c r="D311" s="2"/>
    </row>
    <row r="312" spans="2:4" ht="16.5" customHeight="1">
      <c r="B312" s="156"/>
      <c r="C312" s="2"/>
      <c r="D312" s="2"/>
    </row>
    <row r="313" spans="2:4" ht="16.5" customHeight="1">
      <c r="B313" s="156"/>
      <c r="C313" s="2"/>
      <c r="D313" s="2"/>
    </row>
    <row r="314" spans="2:4" ht="16.5" customHeight="1">
      <c r="B314" s="156"/>
      <c r="C314" s="2"/>
      <c r="D314" s="2"/>
    </row>
    <row r="315" spans="2:4" ht="16.5" customHeight="1">
      <c r="B315" s="156"/>
      <c r="C315" s="2"/>
      <c r="D315" s="2"/>
    </row>
    <row r="316" spans="2:4" ht="16.5" customHeight="1">
      <c r="B316" s="156"/>
      <c r="C316" s="2"/>
      <c r="D316" s="2"/>
    </row>
    <row r="317" spans="2:4" ht="16.5" customHeight="1">
      <c r="B317" s="156"/>
      <c r="C317" s="2"/>
      <c r="D317" s="2"/>
    </row>
    <row r="318" spans="2:4" ht="16.5" customHeight="1">
      <c r="B318" s="156"/>
      <c r="C318" s="2"/>
      <c r="D318" s="2"/>
    </row>
    <row r="319" spans="2:4" ht="16.5" customHeight="1">
      <c r="B319" s="156"/>
      <c r="C319" s="2"/>
      <c r="D319" s="2"/>
    </row>
    <row r="320" spans="2:4" ht="16.5" customHeight="1">
      <c r="B320" s="156"/>
      <c r="C320" s="2"/>
      <c r="D320" s="2"/>
    </row>
    <row r="321" spans="2:4" ht="16.5" customHeight="1">
      <c r="B321" s="156"/>
      <c r="C321" s="2"/>
      <c r="D321" s="2"/>
    </row>
    <row r="322" spans="2:4" ht="16.5" customHeight="1">
      <c r="B322" s="156"/>
      <c r="C322" s="2"/>
      <c r="D322" s="2"/>
    </row>
    <row r="323" spans="2:4" ht="16.5" customHeight="1">
      <c r="B323" s="156"/>
      <c r="C323" s="2"/>
      <c r="D323" s="2"/>
    </row>
    <row r="324" spans="2:4" ht="16.5" customHeight="1">
      <c r="B324" s="156"/>
      <c r="C324" s="2"/>
      <c r="D324" s="2"/>
    </row>
    <row r="325" spans="2:4" ht="16.5" customHeight="1">
      <c r="B325" s="156"/>
      <c r="C325" s="2"/>
      <c r="D325" s="2"/>
    </row>
    <row r="326" spans="2:4" ht="16.5" customHeight="1">
      <c r="B326" s="156"/>
      <c r="C326" s="2"/>
      <c r="D326" s="2"/>
    </row>
    <row r="327" spans="2:4" ht="16.5" customHeight="1">
      <c r="B327" s="156"/>
      <c r="C327" s="2"/>
      <c r="D327" s="2"/>
    </row>
    <row r="328" spans="2:4" ht="16.5" customHeight="1">
      <c r="B328" s="156"/>
      <c r="C328" s="2"/>
      <c r="D328" s="2"/>
    </row>
    <row r="329" spans="2:4" ht="16.5" customHeight="1">
      <c r="B329" s="156"/>
      <c r="C329" s="2"/>
      <c r="D329" s="2"/>
    </row>
    <row r="330" spans="2:4" ht="16.5" customHeight="1">
      <c r="B330" s="156"/>
      <c r="C330" s="2"/>
      <c r="D330" s="2"/>
    </row>
    <row r="331" spans="2:4" ht="16.5" customHeight="1">
      <c r="B331" s="156"/>
      <c r="C331" s="2"/>
      <c r="D331" s="2"/>
    </row>
    <row r="332" spans="2:4" ht="16.5" customHeight="1">
      <c r="B332" s="156"/>
      <c r="C332" s="2"/>
      <c r="D332" s="2"/>
    </row>
    <row r="333" spans="2:4" ht="16.5" customHeight="1">
      <c r="B333" s="156"/>
      <c r="C333" s="2"/>
      <c r="D333" s="2"/>
    </row>
    <row r="334" spans="2:4" ht="16.5" customHeight="1">
      <c r="B334" s="156"/>
      <c r="C334" s="2"/>
      <c r="D334" s="2"/>
    </row>
    <row r="335" spans="2:4" ht="16.5" customHeight="1">
      <c r="B335" s="156"/>
      <c r="C335" s="2"/>
      <c r="D335" s="2"/>
    </row>
    <row r="336" spans="2:4" ht="16.5" customHeight="1">
      <c r="B336" s="156"/>
      <c r="C336" s="2"/>
      <c r="D336" s="2"/>
    </row>
    <row r="337" spans="2:4" ht="16.5" customHeight="1">
      <c r="B337" s="156"/>
      <c r="C337" s="2"/>
      <c r="D337" s="2"/>
    </row>
    <row r="338" spans="2:4" ht="16.5" customHeight="1">
      <c r="B338" s="156"/>
      <c r="C338" s="2"/>
      <c r="D338" s="2"/>
    </row>
    <row r="339" spans="2:4" ht="16.5" customHeight="1">
      <c r="B339" s="156"/>
      <c r="C339" s="2"/>
      <c r="D339" s="2"/>
    </row>
    <row r="340" spans="2:4" ht="16.5" customHeight="1">
      <c r="B340" s="156"/>
      <c r="C340" s="2"/>
      <c r="D340" s="2"/>
    </row>
    <row r="341" spans="2:4" ht="16.5" customHeight="1">
      <c r="B341" s="156"/>
      <c r="C341" s="2"/>
      <c r="D341" s="2"/>
    </row>
    <row r="342" spans="2:4" ht="16.5" customHeight="1">
      <c r="B342" s="156"/>
      <c r="C342" s="2"/>
      <c r="D342" s="2"/>
    </row>
    <row r="343" spans="2:4" ht="16.5" customHeight="1">
      <c r="B343" s="156"/>
      <c r="C343" s="2"/>
      <c r="D343" s="2"/>
    </row>
    <row r="344" spans="2:4" ht="16.5" customHeight="1">
      <c r="B344" s="156"/>
      <c r="C344" s="2"/>
      <c r="D344" s="2"/>
    </row>
    <row r="345" spans="2:4" ht="16.5" customHeight="1">
      <c r="B345" s="156"/>
      <c r="C345" s="2"/>
      <c r="D345" s="2"/>
    </row>
    <row r="346" spans="2:4" ht="16.5" customHeight="1">
      <c r="B346" s="156"/>
      <c r="C346" s="2"/>
      <c r="D346" s="2"/>
    </row>
    <row r="347" spans="2:4" ht="16.5" customHeight="1">
      <c r="B347" s="156"/>
      <c r="C347" s="2"/>
      <c r="D347" s="2"/>
    </row>
    <row r="348" spans="2:4" ht="16.5" customHeight="1">
      <c r="B348" s="156"/>
      <c r="C348" s="2"/>
      <c r="D348" s="2"/>
    </row>
    <row r="349" spans="2:4" ht="16.5" customHeight="1">
      <c r="B349" s="156"/>
      <c r="C349" s="2"/>
      <c r="D349" s="2"/>
    </row>
    <row r="350" spans="2:4" ht="16.5" customHeight="1">
      <c r="B350" s="156"/>
      <c r="C350" s="2"/>
      <c r="D350" s="2"/>
    </row>
    <row r="351" spans="2:4" ht="16.5" customHeight="1">
      <c r="B351" s="156"/>
      <c r="C351" s="2"/>
      <c r="D351" s="2"/>
    </row>
    <row r="352" spans="2:4" ht="16.5" customHeight="1">
      <c r="B352" s="156"/>
      <c r="C352" s="2"/>
      <c r="D352" s="2"/>
    </row>
    <row r="353" spans="2:4" ht="16.5" customHeight="1">
      <c r="B353" s="156"/>
      <c r="C353" s="2"/>
      <c r="D353" s="2"/>
    </row>
    <row r="354" spans="2:4" ht="16.5" customHeight="1">
      <c r="B354" s="156"/>
      <c r="C354" s="2"/>
      <c r="D354" s="2"/>
    </row>
    <row r="355" spans="2:4" ht="16.5" customHeight="1">
      <c r="B355" s="156"/>
      <c r="C355" s="2"/>
      <c r="D355" s="2"/>
    </row>
    <row r="356" spans="2:4" ht="16.5" customHeight="1">
      <c r="B356" s="156"/>
      <c r="C356" s="2"/>
      <c r="D356" s="2"/>
    </row>
    <row r="357" spans="2:4" ht="16.5" customHeight="1">
      <c r="B357" s="156"/>
      <c r="C357" s="2"/>
      <c r="D357" s="2"/>
    </row>
    <row r="358" spans="2:4" ht="16.5" customHeight="1">
      <c r="B358" s="156"/>
      <c r="C358" s="2"/>
      <c r="D358" s="2"/>
    </row>
    <row r="359" spans="2:4" ht="16.5" customHeight="1">
      <c r="B359" s="156"/>
      <c r="C359" s="2"/>
      <c r="D359" s="2"/>
    </row>
    <row r="360" spans="2:4" ht="16.5" customHeight="1">
      <c r="B360" s="156"/>
      <c r="C360" s="2"/>
      <c r="D360" s="2"/>
    </row>
    <row r="361" spans="2:4" ht="16.5" customHeight="1">
      <c r="B361" s="156"/>
      <c r="C361" s="2"/>
      <c r="D361" s="2"/>
    </row>
    <row r="362" spans="2:4" ht="16.5" customHeight="1">
      <c r="B362" s="156"/>
      <c r="C362" s="2"/>
      <c r="D362" s="2"/>
    </row>
    <row r="363" spans="2:4" ht="16.5" customHeight="1">
      <c r="B363" s="156"/>
      <c r="C363" s="2"/>
      <c r="D363" s="2"/>
    </row>
    <row r="364" spans="2:4" ht="16.5" customHeight="1">
      <c r="B364" s="156"/>
      <c r="C364" s="2"/>
      <c r="D364" s="2"/>
    </row>
    <row r="365" spans="2:4" ht="16.5" customHeight="1">
      <c r="B365" s="156"/>
      <c r="C365" s="2"/>
      <c r="D365" s="2"/>
    </row>
    <row r="366" spans="2:4" ht="16.5" customHeight="1">
      <c r="B366" s="156"/>
      <c r="C366" s="2"/>
      <c r="D366" s="2"/>
    </row>
    <row r="367" spans="2:4" ht="16.5" customHeight="1">
      <c r="B367" s="156"/>
      <c r="C367" s="2"/>
      <c r="D367" s="2"/>
    </row>
    <row r="368" spans="2:4" ht="16.5" customHeight="1">
      <c r="B368" s="156"/>
      <c r="C368" s="2"/>
      <c r="D368" s="2"/>
    </row>
    <row r="369" spans="2:4" ht="16.5" customHeight="1">
      <c r="B369" s="156"/>
      <c r="C369" s="2"/>
      <c r="D369" s="2"/>
    </row>
    <row r="370" spans="2:4" ht="16.5" customHeight="1">
      <c r="B370" s="156"/>
      <c r="C370" s="2"/>
      <c r="D370" s="2"/>
    </row>
    <row r="371" spans="2:4" ht="16.5" customHeight="1">
      <c r="B371" s="156"/>
      <c r="C371" s="2"/>
      <c r="D371" s="2"/>
    </row>
    <row r="372" spans="2:4" ht="16.5" customHeight="1">
      <c r="B372" s="156"/>
      <c r="C372" s="2"/>
      <c r="D372" s="2"/>
    </row>
    <row r="373" spans="2:4" ht="16.5" customHeight="1">
      <c r="B373" s="156"/>
      <c r="C373" s="2"/>
      <c r="D373" s="2"/>
    </row>
    <row r="374" spans="2:4" ht="16.5" customHeight="1">
      <c r="B374" s="156"/>
      <c r="C374" s="2"/>
      <c r="D374" s="2"/>
    </row>
    <row r="375" spans="2:4" ht="16.5" customHeight="1">
      <c r="B375" s="156"/>
      <c r="C375" s="2"/>
      <c r="D375" s="2"/>
    </row>
    <row r="376" spans="2:4" ht="16.5" customHeight="1">
      <c r="B376" s="156"/>
      <c r="C376" s="2"/>
      <c r="D376" s="2"/>
    </row>
    <row r="377" spans="2:4" ht="16.5" customHeight="1">
      <c r="B377" s="156"/>
      <c r="C377" s="2"/>
      <c r="D377" s="2"/>
    </row>
    <row r="378" spans="2:4" ht="16.5" customHeight="1">
      <c r="B378" s="156"/>
      <c r="C378" s="2"/>
      <c r="D378" s="2"/>
    </row>
    <row r="379" spans="2:4" ht="16.5" customHeight="1">
      <c r="B379" s="156"/>
      <c r="C379" s="2"/>
      <c r="D379" s="2"/>
    </row>
    <row r="380" spans="2:4" ht="16.5" customHeight="1">
      <c r="B380" s="156"/>
      <c r="C380" s="2"/>
      <c r="D380" s="2"/>
    </row>
    <row r="381" spans="2:4" ht="16.5" customHeight="1">
      <c r="B381" s="156"/>
      <c r="C381" s="2"/>
      <c r="D381" s="2"/>
    </row>
    <row r="382" spans="2:4" ht="16.5" customHeight="1">
      <c r="B382" s="156"/>
      <c r="C382" s="2"/>
      <c r="D382" s="2"/>
    </row>
    <row r="383" spans="2:4" ht="16.5" customHeight="1">
      <c r="B383" s="156"/>
      <c r="C383" s="2"/>
      <c r="D383" s="2"/>
    </row>
    <row r="384" spans="2:4" ht="16.5" customHeight="1">
      <c r="B384" s="156"/>
      <c r="C384" s="2"/>
      <c r="D384" s="2"/>
    </row>
    <row r="385" spans="2:4" ht="16.5" customHeight="1">
      <c r="B385" s="156"/>
      <c r="C385" s="2"/>
      <c r="D385" s="2"/>
    </row>
    <row r="386" spans="2:4" ht="16.5" customHeight="1">
      <c r="B386" s="156"/>
      <c r="C386" s="2"/>
      <c r="D386" s="2"/>
    </row>
    <row r="387" spans="2:4" ht="16.5" customHeight="1">
      <c r="B387" s="156"/>
      <c r="C387" s="2"/>
      <c r="D387" s="2"/>
    </row>
    <row r="388" spans="2:4" ht="16.5" customHeight="1">
      <c r="B388" s="156"/>
      <c r="C388" s="2"/>
      <c r="D388" s="2"/>
    </row>
    <row r="389" spans="2:4" ht="16.5" customHeight="1">
      <c r="B389" s="156"/>
      <c r="C389" s="2"/>
      <c r="D389" s="2"/>
    </row>
    <row r="390" spans="2:4" ht="16.5" customHeight="1">
      <c r="B390" s="156"/>
      <c r="C390" s="2"/>
      <c r="D390" s="2"/>
    </row>
    <row r="391" spans="2:4" ht="16.5" customHeight="1">
      <c r="B391" s="156"/>
      <c r="C391" s="2"/>
      <c r="D391" s="2"/>
    </row>
    <row r="392" spans="2:4" ht="16.5" customHeight="1">
      <c r="B392" s="156"/>
      <c r="C392" s="2"/>
      <c r="D392" s="2"/>
    </row>
    <row r="393" spans="2:4" ht="16.5" customHeight="1">
      <c r="B393" s="156"/>
      <c r="C393" s="2"/>
      <c r="D393" s="2"/>
    </row>
    <row r="394" spans="2:4" ht="16.5" customHeight="1">
      <c r="B394" s="156"/>
      <c r="C394" s="2"/>
      <c r="D394" s="2"/>
    </row>
    <row r="395" spans="2:4" ht="16.5" customHeight="1">
      <c r="B395" s="156"/>
      <c r="C395" s="2"/>
      <c r="D395" s="2"/>
    </row>
    <row r="396" spans="2:4" ht="16.5" customHeight="1">
      <c r="B396" s="156"/>
      <c r="C396" s="2"/>
      <c r="D396" s="2"/>
    </row>
    <row r="397" spans="2:4" ht="16.5" customHeight="1">
      <c r="B397" s="156"/>
      <c r="C397" s="2"/>
      <c r="D397" s="2"/>
    </row>
    <row r="398" spans="2:4" ht="16.5" customHeight="1">
      <c r="B398" s="156"/>
      <c r="C398" s="2"/>
      <c r="D398" s="2"/>
    </row>
    <row r="399" spans="2:4" ht="16.5" customHeight="1">
      <c r="B399" s="156"/>
      <c r="C399" s="2"/>
      <c r="D399" s="2"/>
    </row>
    <row r="400" spans="2:4" ht="16.5" customHeight="1">
      <c r="B400" s="156"/>
      <c r="C400" s="2"/>
      <c r="D400" s="2"/>
    </row>
    <row r="401" spans="2:4" ht="16.5" customHeight="1">
      <c r="B401" s="156"/>
      <c r="C401" s="2"/>
      <c r="D401" s="2"/>
    </row>
    <row r="402" spans="2:4" ht="16.5" customHeight="1">
      <c r="B402" s="156"/>
      <c r="C402" s="2"/>
      <c r="D402" s="2"/>
    </row>
    <row r="403" spans="2:4" ht="16.5" customHeight="1">
      <c r="B403" s="156"/>
      <c r="C403" s="2"/>
      <c r="D403" s="2"/>
    </row>
    <row r="404" spans="2:4" ht="16.5" customHeight="1">
      <c r="B404" s="156"/>
      <c r="C404" s="2"/>
      <c r="D404" s="2"/>
    </row>
    <row r="405" spans="2:4" ht="16.5" customHeight="1">
      <c r="B405" s="156"/>
      <c r="C405" s="2"/>
      <c r="D405" s="2"/>
    </row>
    <row r="406" spans="2:4" ht="16.5" customHeight="1">
      <c r="B406" s="156"/>
      <c r="C406" s="2"/>
      <c r="D406" s="2"/>
    </row>
    <row r="407" spans="2:4" ht="16.5" customHeight="1">
      <c r="B407" s="156"/>
      <c r="C407" s="2"/>
      <c r="D407" s="2"/>
    </row>
    <row r="408" spans="2:4" ht="16.5" customHeight="1">
      <c r="B408" s="156"/>
      <c r="C408" s="2"/>
      <c r="D408" s="2"/>
    </row>
    <row r="409" spans="2:4" ht="16.5" customHeight="1">
      <c r="B409" s="156"/>
      <c r="C409" s="2"/>
      <c r="D409" s="2"/>
    </row>
    <row r="410" spans="2:4" ht="16.5" customHeight="1">
      <c r="B410" s="156"/>
      <c r="C410" s="2"/>
      <c r="D410" s="2"/>
    </row>
    <row r="411" spans="2:4" ht="16.5" customHeight="1">
      <c r="B411" s="156"/>
      <c r="C411" s="2"/>
      <c r="D411" s="2"/>
    </row>
    <row r="412" spans="2:4" ht="16.5" customHeight="1">
      <c r="B412" s="156"/>
      <c r="C412" s="2"/>
      <c r="D412" s="2"/>
    </row>
    <row r="413" spans="2:4" ht="16.5" customHeight="1">
      <c r="B413" s="156"/>
      <c r="C413" s="2"/>
      <c r="D413" s="2"/>
    </row>
    <row r="414" spans="2:4" ht="16.5" customHeight="1">
      <c r="B414" s="156"/>
      <c r="C414" s="2"/>
      <c r="D414" s="2"/>
    </row>
    <row r="415" spans="2:4" ht="16.5" customHeight="1">
      <c r="B415" s="156"/>
      <c r="C415" s="2"/>
      <c r="D415" s="2"/>
    </row>
    <row r="416" spans="2:4" ht="16.5" customHeight="1">
      <c r="B416" s="156"/>
      <c r="C416" s="2"/>
      <c r="D416" s="2"/>
    </row>
    <row r="417" spans="2:4" ht="16.5" customHeight="1">
      <c r="B417" s="156"/>
      <c r="C417" s="2"/>
      <c r="D417" s="2"/>
    </row>
    <row r="418" spans="2:4" ht="16.5" customHeight="1">
      <c r="B418" s="156"/>
      <c r="C418" s="2"/>
      <c r="D418" s="2"/>
    </row>
    <row r="419" spans="2:4" ht="16.5" customHeight="1">
      <c r="B419" s="156"/>
      <c r="C419" s="2"/>
      <c r="D419" s="2"/>
    </row>
    <row r="420" spans="2:4" ht="16.5" customHeight="1">
      <c r="B420" s="156"/>
      <c r="C420" s="2"/>
      <c r="D420" s="2"/>
    </row>
    <row r="421" spans="2:4" ht="16.5" customHeight="1">
      <c r="B421" s="156"/>
      <c r="C421" s="2"/>
      <c r="D421" s="2"/>
    </row>
    <row r="422" spans="2:4" ht="16.5" customHeight="1">
      <c r="B422" s="156"/>
      <c r="C422" s="2"/>
      <c r="D422" s="2"/>
    </row>
    <row r="423" spans="2:4" ht="16.5" customHeight="1">
      <c r="B423" s="156"/>
      <c r="C423" s="2"/>
      <c r="D423" s="2"/>
    </row>
    <row r="424" spans="2:4" ht="16.5" customHeight="1">
      <c r="B424" s="156"/>
      <c r="C424" s="2"/>
      <c r="D424" s="2"/>
    </row>
    <row r="425" spans="2:4" ht="16.5" customHeight="1">
      <c r="B425" s="156"/>
      <c r="C425" s="2"/>
      <c r="D425" s="2"/>
    </row>
    <row r="426" spans="2:4" ht="16.5" customHeight="1">
      <c r="B426" s="156"/>
      <c r="C426" s="2"/>
      <c r="D426" s="2"/>
    </row>
    <row r="427" spans="2:4" ht="16.5" customHeight="1">
      <c r="B427" s="156"/>
      <c r="C427" s="2"/>
      <c r="D427" s="2"/>
    </row>
    <row r="428" spans="2:4" ht="16.5" customHeight="1">
      <c r="B428" s="156"/>
      <c r="C428" s="2"/>
      <c r="D428" s="2"/>
    </row>
    <row r="429" spans="2:4" ht="16.5" customHeight="1">
      <c r="B429" s="156"/>
      <c r="C429" s="2"/>
      <c r="D429" s="2"/>
    </row>
    <row r="430" spans="2:4" ht="16.5" customHeight="1">
      <c r="B430" s="156"/>
      <c r="C430" s="2"/>
      <c r="D430" s="2"/>
    </row>
    <row r="431" spans="2:4" ht="16.5" customHeight="1">
      <c r="B431" s="156"/>
      <c r="C431" s="2"/>
      <c r="D431" s="2"/>
    </row>
    <row r="432" spans="2:4" ht="16.5" customHeight="1">
      <c r="B432" s="156"/>
      <c r="C432" s="2"/>
      <c r="D432" s="2"/>
    </row>
    <row r="433" spans="2:4" ht="16.5" customHeight="1">
      <c r="B433" s="156"/>
      <c r="C433" s="2"/>
      <c r="D433" s="2"/>
    </row>
    <row r="434" spans="2:4" ht="16.5" customHeight="1">
      <c r="B434" s="156"/>
      <c r="C434" s="2"/>
      <c r="D434" s="2"/>
    </row>
    <row r="435" spans="2:4" ht="16.5" customHeight="1">
      <c r="B435" s="156"/>
      <c r="C435" s="2"/>
      <c r="D435" s="2"/>
    </row>
    <row r="436" spans="2:4" ht="16.5" customHeight="1">
      <c r="B436" s="156"/>
      <c r="C436" s="2"/>
      <c r="D436" s="2"/>
    </row>
    <row r="437" spans="2:4" ht="16.5" customHeight="1">
      <c r="B437" s="156"/>
      <c r="C437" s="2"/>
      <c r="D437" s="2"/>
    </row>
    <row r="438" spans="2:4" ht="16.5" customHeight="1">
      <c r="B438" s="156"/>
      <c r="C438" s="2"/>
      <c r="D438" s="2"/>
    </row>
    <row r="439" spans="2:4" ht="16.5" customHeight="1">
      <c r="B439" s="156"/>
      <c r="C439" s="2"/>
      <c r="D439" s="2"/>
    </row>
    <row r="440" spans="2:4" ht="16.5" customHeight="1">
      <c r="B440" s="156"/>
      <c r="C440" s="2"/>
      <c r="D440" s="2"/>
    </row>
    <row r="441" spans="2:4" ht="16.5" customHeight="1">
      <c r="B441" s="156"/>
      <c r="C441" s="2"/>
      <c r="D441" s="2"/>
    </row>
    <row r="442" spans="2:4" ht="16.5" customHeight="1">
      <c r="B442" s="156"/>
      <c r="C442" s="2"/>
      <c r="D442" s="2"/>
    </row>
    <row r="443" spans="2:4" ht="16.5" customHeight="1">
      <c r="B443" s="156"/>
      <c r="C443" s="2"/>
      <c r="D443" s="2"/>
    </row>
    <row r="444" spans="2:4" ht="16.5" customHeight="1">
      <c r="B444" s="156"/>
      <c r="C444" s="2"/>
      <c r="D444" s="2"/>
    </row>
    <row r="445" spans="2:4" ht="16.5" customHeight="1">
      <c r="B445" s="156"/>
      <c r="C445" s="2"/>
      <c r="D445" s="2"/>
    </row>
    <row r="446" spans="2:4" ht="16.5" customHeight="1">
      <c r="B446" s="156"/>
      <c r="C446" s="2"/>
      <c r="D446" s="2"/>
    </row>
    <row r="447" spans="2:4" ht="16.5" customHeight="1">
      <c r="B447" s="156"/>
      <c r="C447" s="2"/>
      <c r="D447" s="2"/>
    </row>
    <row r="448" spans="2:4" ht="16.5" customHeight="1">
      <c r="B448" s="156"/>
      <c r="C448" s="2"/>
      <c r="D448" s="2"/>
    </row>
    <row r="449" spans="2:4" ht="16.5" customHeight="1">
      <c r="B449" s="156"/>
      <c r="C449" s="2"/>
      <c r="D449" s="2"/>
    </row>
    <row r="450" spans="2:4" ht="16.5" customHeight="1">
      <c r="B450" s="156"/>
      <c r="C450" s="2"/>
      <c r="D450" s="2"/>
    </row>
    <row r="451" spans="2:4" ht="16.5" customHeight="1">
      <c r="B451" s="156"/>
      <c r="C451" s="2"/>
      <c r="D451" s="2"/>
    </row>
    <row r="452" spans="2:4" ht="16.5" customHeight="1">
      <c r="B452" s="156"/>
      <c r="C452" s="2"/>
      <c r="D452" s="2"/>
    </row>
    <row r="453" spans="2:4" ht="16.5" customHeight="1">
      <c r="B453" s="156"/>
      <c r="C453" s="2"/>
      <c r="D453" s="2"/>
    </row>
    <row r="454" spans="2:4" ht="16.5" customHeight="1">
      <c r="B454" s="156"/>
      <c r="C454" s="2"/>
      <c r="D454" s="2"/>
    </row>
    <row r="455" spans="2:4" ht="16.5" customHeight="1">
      <c r="B455" s="156"/>
      <c r="C455" s="2"/>
      <c r="D455" s="2"/>
    </row>
    <row r="456" spans="2:4" ht="16.5" customHeight="1">
      <c r="B456" s="156"/>
      <c r="C456" s="2"/>
      <c r="D456" s="2"/>
    </row>
    <row r="457" spans="2:4" ht="16.5" customHeight="1">
      <c r="B457" s="156"/>
      <c r="C457" s="2"/>
      <c r="D457" s="2"/>
    </row>
    <row r="458" spans="2:4" ht="16.5" customHeight="1">
      <c r="B458" s="156"/>
      <c r="C458" s="2"/>
      <c r="D458" s="2"/>
    </row>
    <row r="459" spans="2:4" ht="16.5" customHeight="1">
      <c r="B459" s="156"/>
      <c r="C459" s="2"/>
      <c r="D459" s="2"/>
    </row>
    <row r="460" spans="2:4" ht="16.5" customHeight="1">
      <c r="B460" s="156"/>
      <c r="C460" s="2"/>
      <c r="D460" s="2"/>
    </row>
    <row r="461" spans="2:4" ht="16.5" customHeight="1">
      <c r="B461" s="156"/>
      <c r="C461" s="2"/>
      <c r="D461" s="2"/>
    </row>
    <row r="462" spans="2:4" ht="16.5" customHeight="1">
      <c r="B462" s="156"/>
      <c r="C462" s="2"/>
      <c r="D462" s="2"/>
    </row>
    <row r="463" spans="2:4" ht="16.5" customHeight="1">
      <c r="B463" s="156"/>
      <c r="C463" s="2"/>
      <c r="D463" s="2"/>
    </row>
    <row r="464" spans="2:4" ht="16.5" customHeight="1">
      <c r="B464" s="156"/>
      <c r="C464" s="2"/>
      <c r="D464" s="2"/>
    </row>
    <row r="465" spans="2:4" ht="16.5" customHeight="1">
      <c r="B465" s="156"/>
      <c r="C465" s="2"/>
      <c r="D465" s="2"/>
    </row>
    <row r="466" spans="2:4" ht="16.5" customHeight="1">
      <c r="B466" s="156"/>
      <c r="C466" s="2"/>
      <c r="D466" s="2"/>
    </row>
    <row r="467" spans="2:4" ht="16.5" customHeight="1">
      <c r="B467" s="156"/>
      <c r="C467" s="2"/>
      <c r="D467" s="2"/>
    </row>
    <row r="468" spans="2:4" ht="16.5" customHeight="1">
      <c r="B468" s="156"/>
      <c r="C468" s="2"/>
      <c r="D468" s="2"/>
    </row>
    <row r="469" spans="2:4" ht="16.5" customHeight="1">
      <c r="B469" s="156"/>
      <c r="C469" s="2"/>
      <c r="D469" s="2"/>
    </row>
    <row r="470" spans="2:4" ht="16.5" customHeight="1">
      <c r="B470" s="156"/>
      <c r="C470" s="2"/>
      <c r="D470" s="2"/>
    </row>
    <row r="471" spans="2:4" ht="16.5" customHeight="1">
      <c r="B471" s="156"/>
      <c r="C471" s="2"/>
      <c r="D471" s="2"/>
    </row>
    <row r="472" spans="2:4" ht="16.5" customHeight="1">
      <c r="B472" s="156"/>
      <c r="C472" s="2"/>
      <c r="D472" s="2"/>
    </row>
    <row r="473" spans="2:4" ht="16.5" customHeight="1">
      <c r="B473" s="156"/>
      <c r="C473" s="2"/>
      <c r="D473" s="2"/>
    </row>
    <row r="474" spans="2:4" ht="16.5" customHeight="1">
      <c r="B474" s="156"/>
      <c r="C474" s="2"/>
      <c r="D474" s="2"/>
    </row>
    <row r="475" spans="2:4" ht="16.5" customHeight="1">
      <c r="B475" s="156"/>
      <c r="C475" s="2"/>
      <c r="D475" s="2"/>
    </row>
    <row r="476" spans="2:4" ht="16.5" customHeight="1">
      <c r="B476" s="156"/>
      <c r="C476" s="2"/>
      <c r="D476" s="2"/>
    </row>
    <row r="477" spans="2:4" ht="16.5" customHeight="1">
      <c r="B477" s="156"/>
      <c r="C477" s="2"/>
      <c r="D477" s="2"/>
    </row>
    <row r="478" spans="2:4" ht="16.5" customHeight="1">
      <c r="B478" s="156"/>
      <c r="C478" s="2"/>
      <c r="D478" s="2"/>
    </row>
    <row r="479" spans="2:4" ht="16.5" customHeight="1">
      <c r="B479" s="156"/>
      <c r="C479" s="2"/>
      <c r="D479" s="2"/>
    </row>
    <row r="480" spans="2:4" ht="16.5" customHeight="1">
      <c r="B480" s="156"/>
      <c r="C480" s="2"/>
      <c r="D480" s="2"/>
    </row>
    <row r="481" spans="2:4" ht="16.5" customHeight="1">
      <c r="B481" s="156"/>
      <c r="C481" s="2"/>
      <c r="D481" s="2"/>
    </row>
    <row r="482" spans="2:4" ht="16.5" customHeight="1">
      <c r="B482" s="156"/>
      <c r="C482" s="2"/>
      <c r="D482" s="2"/>
    </row>
    <row r="483" spans="2:4" ht="16.5" customHeight="1">
      <c r="B483" s="156"/>
      <c r="C483" s="2"/>
      <c r="D483" s="2"/>
    </row>
    <row r="484" spans="2:4" ht="16.5" customHeight="1">
      <c r="B484" s="156"/>
      <c r="C484" s="2"/>
      <c r="D484" s="2"/>
    </row>
    <row r="485" spans="2:4" ht="16.5" customHeight="1">
      <c r="B485" s="156"/>
      <c r="C485" s="2"/>
      <c r="D485" s="2"/>
    </row>
    <row r="486" spans="2:4" ht="16.5" customHeight="1">
      <c r="B486" s="156"/>
      <c r="C486" s="2"/>
      <c r="D486" s="2"/>
    </row>
    <row r="487" spans="2:4" ht="16.5" customHeight="1">
      <c r="B487" s="156"/>
      <c r="C487" s="2"/>
      <c r="D487" s="2"/>
    </row>
    <row r="488" spans="2:4" ht="16.5" customHeight="1">
      <c r="B488" s="156"/>
      <c r="C488" s="2"/>
      <c r="D488" s="2"/>
    </row>
    <row r="489" spans="2:4" ht="16.5" customHeight="1">
      <c r="B489" s="156"/>
      <c r="C489" s="2"/>
      <c r="D489" s="2"/>
    </row>
    <row r="490" spans="2:4" ht="16.5" customHeight="1">
      <c r="B490" s="156"/>
      <c r="C490" s="2"/>
      <c r="D490" s="2"/>
    </row>
    <row r="491" spans="2:4" ht="16.5" customHeight="1">
      <c r="B491" s="156"/>
      <c r="C491" s="2"/>
      <c r="D491" s="2"/>
    </row>
    <row r="492" spans="2:4" ht="16.5" customHeight="1">
      <c r="B492" s="156"/>
      <c r="C492" s="2"/>
      <c r="D492" s="2"/>
    </row>
    <row r="493" spans="2:4" ht="16.5" customHeight="1">
      <c r="B493" s="156"/>
      <c r="C493" s="2"/>
      <c r="D493" s="2"/>
    </row>
    <row r="494" spans="2:4" ht="16.5" customHeight="1">
      <c r="B494" s="156"/>
      <c r="C494" s="2"/>
      <c r="D494" s="2"/>
    </row>
    <row r="495" spans="2:4" ht="16.5" customHeight="1">
      <c r="B495" s="156"/>
      <c r="C495" s="2"/>
      <c r="D495" s="2"/>
    </row>
    <row r="496" spans="2:4" ht="16.5" customHeight="1">
      <c r="B496" s="156"/>
      <c r="C496" s="2"/>
      <c r="D496" s="2"/>
    </row>
    <row r="497" spans="2:4" ht="16.5" customHeight="1">
      <c r="B497" s="156"/>
      <c r="C497" s="2"/>
      <c r="D497" s="2"/>
    </row>
    <row r="498" spans="2:4" ht="16.5" customHeight="1">
      <c r="B498" s="156"/>
      <c r="C498" s="2"/>
      <c r="D498" s="2"/>
    </row>
    <row r="499" spans="2:4" ht="16.5" customHeight="1">
      <c r="B499" s="156"/>
      <c r="C499" s="2"/>
      <c r="D499" s="2"/>
    </row>
    <row r="500" spans="2:4" ht="16.5" customHeight="1">
      <c r="B500" s="156"/>
      <c r="C500" s="2"/>
      <c r="D500" s="2"/>
    </row>
    <row r="501" spans="2:4" ht="16.5" customHeight="1">
      <c r="B501" s="156"/>
      <c r="C501" s="2"/>
      <c r="D501" s="2"/>
    </row>
    <row r="502" spans="2:4" ht="16.5" customHeight="1">
      <c r="B502" s="156"/>
      <c r="C502" s="2"/>
      <c r="D502" s="2"/>
    </row>
    <row r="503" spans="2:4" ht="16.5" customHeight="1">
      <c r="B503" s="156"/>
      <c r="C503" s="2"/>
      <c r="D503" s="2"/>
    </row>
    <row r="504" spans="2:4" ht="16.5" customHeight="1">
      <c r="B504" s="156"/>
      <c r="C504" s="2"/>
      <c r="D504" s="2"/>
    </row>
    <row r="505" spans="2:4" ht="16.5" customHeight="1">
      <c r="B505" s="156"/>
      <c r="C505" s="2"/>
      <c r="D505" s="2"/>
    </row>
    <row r="506" spans="2:4" ht="16.5" customHeight="1">
      <c r="B506" s="156"/>
      <c r="C506" s="2"/>
      <c r="D506" s="2"/>
    </row>
    <row r="507" spans="2:4" ht="16.5" customHeight="1">
      <c r="B507" s="156"/>
      <c r="C507" s="2"/>
      <c r="D507" s="2"/>
    </row>
    <row r="508" spans="2:4" ht="16.5" customHeight="1">
      <c r="B508" s="156"/>
      <c r="C508" s="2"/>
      <c r="D508" s="2"/>
    </row>
    <row r="509" spans="2:4" ht="16.5" customHeight="1">
      <c r="B509" s="156"/>
      <c r="C509" s="2"/>
      <c r="D509" s="2"/>
    </row>
    <row r="510" spans="2:4" ht="16.5" customHeight="1">
      <c r="B510" s="156"/>
      <c r="C510" s="2"/>
      <c r="D510" s="2"/>
    </row>
    <row r="511" spans="2:4" ht="16.5" customHeight="1">
      <c r="B511" s="156"/>
      <c r="C511" s="2"/>
      <c r="D511" s="2"/>
    </row>
    <row r="512" spans="2:4" ht="16.5" customHeight="1">
      <c r="B512" s="156"/>
      <c r="C512" s="2"/>
      <c r="D512" s="2"/>
    </row>
    <row r="513" spans="2:4" ht="16.5" customHeight="1">
      <c r="B513" s="156"/>
      <c r="C513" s="2"/>
      <c r="D513" s="2"/>
    </row>
    <row r="514" spans="2:4" ht="16.5" customHeight="1">
      <c r="B514" s="156"/>
      <c r="C514" s="2"/>
      <c r="D514" s="2"/>
    </row>
    <row r="515" spans="2:4" ht="16.5" customHeight="1">
      <c r="B515" s="156"/>
      <c r="C515" s="2"/>
      <c r="D515" s="2"/>
    </row>
    <row r="516" spans="2:4" ht="16.5" customHeight="1">
      <c r="B516" s="156"/>
      <c r="C516" s="2"/>
      <c r="D516" s="2"/>
    </row>
    <row r="517" spans="2:4" ht="16.5" customHeight="1">
      <c r="B517" s="156"/>
      <c r="C517" s="11"/>
      <c r="D517" s="2"/>
    </row>
    <row r="518" spans="2:4" ht="16.5" customHeight="1">
      <c r="B518" s="156"/>
      <c r="C518" s="11"/>
      <c r="D518" s="2"/>
    </row>
    <row r="519" spans="2:4" ht="16.5" customHeight="1">
      <c r="B519" s="156"/>
      <c r="C519" s="11"/>
      <c r="D519" s="2"/>
    </row>
    <row r="520" spans="2:4" ht="16.5" customHeight="1">
      <c r="B520" s="156"/>
      <c r="C520" s="11"/>
      <c r="D520" s="2"/>
    </row>
    <row r="521" spans="2:4" ht="16.5" customHeight="1">
      <c r="B521" s="156"/>
      <c r="C521" s="11"/>
      <c r="D521" s="2"/>
    </row>
    <row r="522" spans="2:4" ht="16.5" customHeight="1">
      <c r="B522" s="156"/>
      <c r="C522" s="11"/>
      <c r="D522" s="2"/>
    </row>
    <row r="523" spans="2:4" ht="16.5" customHeight="1">
      <c r="B523" s="156"/>
      <c r="C523" s="11"/>
      <c r="D523" s="2"/>
    </row>
    <row r="524" spans="2:4" ht="16.5" customHeight="1">
      <c r="B524" s="156"/>
      <c r="C524" s="11"/>
      <c r="D524" s="2"/>
    </row>
    <row r="525" spans="2:4" ht="16.5" customHeight="1">
      <c r="B525" s="156"/>
      <c r="C525" s="11"/>
      <c r="D525" s="2"/>
    </row>
    <row r="526" spans="2:4" ht="16.5" customHeight="1">
      <c r="B526" s="156"/>
      <c r="C526" s="11"/>
      <c r="D526" s="2"/>
    </row>
    <row r="527" spans="2:4" ht="16.5" customHeight="1">
      <c r="B527" s="156"/>
      <c r="C527" s="11"/>
      <c r="D527" s="2"/>
    </row>
    <row r="528" spans="2:4" ht="16.5" customHeight="1">
      <c r="B528" s="156"/>
      <c r="C528" s="11"/>
      <c r="D528" s="2"/>
    </row>
    <row r="529" spans="2:4" ht="16.5" customHeight="1">
      <c r="B529" s="156"/>
      <c r="C529" s="11"/>
      <c r="D529" s="2"/>
    </row>
    <row r="530" spans="2:4" ht="16.5" customHeight="1">
      <c r="B530" s="156"/>
      <c r="C530" s="11"/>
      <c r="D530" s="2"/>
    </row>
    <row r="531" spans="2:4" ht="16.5" customHeight="1">
      <c r="B531" s="156"/>
      <c r="C531" s="11"/>
      <c r="D531" s="2"/>
    </row>
    <row r="532" spans="2:4" ht="16.5" customHeight="1">
      <c r="B532" s="156"/>
      <c r="C532" s="11"/>
      <c r="D532" s="2"/>
    </row>
    <row r="533" spans="2:4" ht="16.5" customHeight="1">
      <c r="B533" s="156"/>
      <c r="C533" s="11"/>
      <c r="D533" s="2"/>
    </row>
    <row r="534" spans="2:4" ht="16.5" customHeight="1">
      <c r="B534" s="156"/>
      <c r="C534" s="11"/>
      <c r="D534" s="2"/>
    </row>
    <row r="535" spans="2:4" ht="16.5" customHeight="1">
      <c r="B535" s="156"/>
      <c r="C535" s="11"/>
      <c r="D535" s="2"/>
    </row>
    <row r="536" spans="2:4" ht="16.5" customHeight="1">
      <c r="B536" s="156"/>
      <c r="C536" s="11"/>
      <c r="D536" s="2"/>
    </row>
    <row r="537" spans="2:4" ht="16.5" customHeight="1">
      <c r="B537" s="156"/>
      <c r="C537" s="11"/>
      <c r="D537" s="2"/>
    </row>
    <row r="538" spans="2:4" ht="16.5" customHeight="1">
      <c r="B538" s="156"/>
      <c r="C538" s="11"/>
      <c r="D538" s="2"/>
    </row>
    <row r="539" spans="2:4" ht="16.5" customHeight="1">
      <c r="B539" s="156"/>
      <c r="C539" s="11"/>
      <c r="D539" s="2"/>
    </row>
    <row r="540" spans="2:4" ht="16.5" customHeight="1">
      <c r="B540" s="156"/>
      <c r="C540" s="11"/>
      <c r="D540" s="2"/>
    </row>
    <row r="541" spans="2:4" ht="16.5" customHeight="1">
      <c r="B541" s="156"/>
      <c r="C541" s="11"/>
      <c r="D541" s="2"/>
    </row>
    <row r="542" spans="2:4" ht="16.5" customHeight="1">
      <c r="B542" s="156"/>
      <c r="C542" s="11"/>
      <c r="D542" s="2"/>
    </row>
    <row r="543" spans="2:4" ht="16.5" customHeight="1">
      <c r="B543" s="156"/>
      <c r="C543" s="11"/>
      <c r="D543" s="2"/>
    </row>
    <row r="544" spans="2:4" ht="16.5" customHeight="1">
      <c r="B544" s="156"/>
      <c r="C544" s="11"/>
      <c r="D544" s="2"/>
    </row>
    <row r="545" spans="2:4" ht="16.5" customHeight="1">
      <c r="B545" s="156"/>
      <c r="C545" s="11"/>
      <c r="D545" s="2"/>
    </row>
    <row r="546" spans="2:4" ht="16.5" customHeight="1">
      <c r="B546" s="156"/>
      <c r="C546" s="11"/>
      <c r="D546" s="2"/>
    </row>
    <row r="547" spans="2:4" ht="16.5" customHeight="1">
      <c r="B547" s="156"/>
      <c r="C547" s="11"/>
      <c r="D547" s="2"/>
    </row>
    <row r="548" spans="2:4" ht="16.5" customHeight="1">
      <c r="B548" s="156"/>
      <c r="C548" s="11"/>
      <c r="D548" s="2"/>
    </row>
    <row r="549" spans="2:4" ht="16.5" customHeight="1">
      <c r="B549" s="156"/>
      <c r="C549" s="11"/>
      <c r="D549" s="2"/>
    </row>
    <row r="550" spans="2:4" ht="16.5" customHeight="1">
      <c r="B550" s="156"/>
      <c r="C550" s="11"/>
      <c r="D550" s="2"/>
    </row>
    <row r="551" spans="2:4" ht="16.5" customHeight="1">
      <c r="B551" s="156"/>
      <c r="C551" s="11"/>
      <c r="D551" s="2"/>
    </row>
    <row r="552" spans="2:4" ht="16.5" customHeight="1">
      <c r="B552" s="156"/>
      <c r="C552" s="11"/>
      <c r="D552" s="2"/>
    </row>
    <row r="553" spans="2:4" ht="16.5" customHeight="1">
      <c r="B553" s="156"/>
      <c r="C553" s="11"/>
      <c r="D553" s="2"/>
    </row>
    <row r="554" spans="2:4" ht="16.5" customHeight="1">
      <c r="B554" s="156"/>
      <c r="C554" s="11"/>
      <c r="D554" s="2"/>
    </row>
    <row r="555" spans="2:4" ht="16.5" customHeight="1">
      <c r="B555" s="156"/>
      <c r="C555" s="11"/>
      <c r="D555" s="2"/>
    </row>
    <row r="556" spans="2:4" ht="16.5" customHeight="1">
      <c r="B556" s="156"/>
      <c r="C556" s="11"/>
      <c r="D556" s="2"/>
    </row>
    <row r="557" spans="2:4" ht="16.5" customHeight="1">
      <c r="B557" s="156"/>
      <c r="C557" s="11"/>
      <c r="D557" s="2"/>
    </row>
    <row r="558" spans="2:4" ht="16.5" customHeight="1">
      <c r="B558" s="156"/>
      <c r="C558" s="11"/>
      <c r="D558" s="2"/>
    </row>
    <row r="559" spans="2:4" ht="16.5" customHeight="1">
      <c r="B559" s="156"/>
      <c r="C559" s="11"/>
      <c r="D559" s="2"/>
    </row>
    <row r="560" spans="2:4" ht="16.5" customHeight="1">
      <c r="B560" s="156"/>
      <c r="C560" s="11"/>
      <c r="D560" s="2"/>
    </row>
    <row r="561" spans="2:4" ht="16.5" customHeight="1">
      <c r="B561" s="156"/>
      <c r="C561" s="11"/>
      <c r="D561" s="2"/>
    </row>
    <row r="562" spans="2:4" ht="16.5" customHeight="1">
      <c r="B562" s="156"/>
      <c r="C562" s="11"/>
      <c r="D562" s="2"/>
    </row>
    <row r="563" spans="2:4" ht="16.5" customHeight="1">
      <c r="B563" s="156"/>
      <c r="C563" s="11"/>
      <c r="D563" s="2"/>
    </row>
    <row r="564" spans="2:4" ht="16.5" customHeight="1">
      <c r="B564" s="156"/>
      <c r="C564" s="11"/>
      <c r="D564" s="2"/>
    </row>
    <row r="565" spans="2:4" ht="16.5" customHeight="1">
      <c r="B565" s="156"/>
      <c r="C565" s="11"/>
      <c r="D565" s="2"/>
    </row>
    <row r="566" spans="2:4" ht="16.5" customHeight="1">
      <c r="B566" s="156"/>
      <c r="C566" s="11"/>
      <c r="D566" s="2"/>
    </row>
    <row r="567" spans="2:4" ht="16.5" customHeight="1">
      <c r="B567" s="156"/>
      <c r="C567" s="11"/>
      <c r="D567" s="2"/>
    </row>
    <row r="568" spans="2:4" ht="16.5" customHeight="1">
      <c r="B568" s="156"/>
      <c r="C568" s="11"/>
      <c r="D568" s="2"/>
    </row>
    <row r="569" spans="2:4" ht="16.5" customHeight="1">
      <c r="B569" s="156"/>
      <c r="C569" s="11"/>
      <c r="D569" s="2"/>
    </row>
    <row r="570" spans="2:4" ht="16.5" customHeight="1">
      <c r="B570" s="156"/>
      <c r="C570" s="11"/>
      <c r="D570" s="2"/>
    </row>
    <row r="571" spans="2:4" ht="16.5" customHeight="1">
      <c r="B571" s="156"/>
      <c r="C571" s="11"/>
      <c r="D571" s="2"/>
    </row>
    <row r="572" spans="2:4" ht="16.5" customHeight="1">
      <c r="B572" s="156"/>
      <c r="C572" s="11"/>
      <c r="D572" s="2"/>
    </row>
    <row r="573" spans="2:4" ht="16.5" customHeight="1">
      <c r="B573" s="156"/>
      <c r="C573" s="11"/>
      <c r="D573" s="2"/>
    </row>
    <row r="574" spans="2:4" ht="16.5" customHeight="1">
      <c r="B574" s="156"/>
      <c r="C574" s="11"/>
      <c r="D574" s="2"/>
    </row>
    <row r="575" spans="2:4" ht="16.5" customHeight="1">
      <c r="B575" s="156"/>
      <c r="C575" s="11"/>
      <c r="D575" s="2"/>
    </row>
    <row r="576" spans="2:4" ht="16.5" customHeight="1">
      <c r="B576" s="156"/>
      <c r="C576" s="11"/>
      <c r="D576" s="2"/>
    </row>
    <row r="577" spans="2:4" ht="16.5" customHeight="1">
      <c r="B577" s="156"/>
      <c r="C577" s="11"/>
      <c r="D577" s="2"/>
    </row>
    <row r="578" spans="2:4" ht="16.5" customHeight="1">
      <c r="B578" s="156"/>
      <c r="C578" s="11"/>
      <c r="D578" s="2"/>
    </row>
    <row r="579" spans="2:4" ht="16.5" customHeight="1">
      <c r="B579" s="156"/>
      <c r="C579" s="11"/>
      <c r="D579" s="2"/>
    </row>
    <row r="580" spans="2:4" ht="16.5" customHeight="1">
      <c r="B580" s="156"/>
      <c r="C580" s="11"/>
      <c r="D580" s="2"/>
    </row>
    <row r="581" spans="2:4" ht="16.5" customHeight="1">
      <c r="B581" s="156"/>
      <c r="C581" s="11"/>
      <c r="D581" s="2"/>
    </row>
    <row r="582" spans="2:4" ht="16.5" customHeight="1">
      <c r="B582" s="156"/>
      <c r="C582" s="11"/>
      <c r="D582" s="2"/>
    </row>
    <row r="583" spans="2:4" ht="16.5" customHeight="1">
      <c r="B583" s="156"/>
      <c r="C583" s="11"/>
      <c r="D583" s="2"/>
    </row>
    <row r="584" spans="2:4" ht="16.5" customHeight="1">
      <c r="B584" s="156"/>
      <c r="C584" s="11"/>
      <c r="D584" s="2"/>
    </row>
    <row r="585" spans="2:4" ht="16.5" customHeight="1">
      <c r="B585" s="156"/>
      <c r="C585" s="11"/>
      <c r="D585" s="2"/>
    </row>
    <row r="586" spans="2:4" ht="16.5" customHeight="1">
      <c r="B586" s="156"/>
      <c r="C586" s="11"/>
      <c r="D586" s="2"/>
    </row>
    <row r="587" spans="2:4" ht="16.5" customHeight="1">
      <c r="B587" s="156"/>
      <c r="C587" s="11"/>
      <c r="D587" s="2"/>
    </row>
    <row r="588" spans="2:4" ht="16.5" customHeight="1">
      <c r="B588" s="156"/>
      <c r="C588" s="11"/>
      <c r="D588" s="2"/>
    </row>
    <row r="589" spans="2:4" ht="16.5" customHeight="1">
      <c r="B589" s="156"/>
      <c r="C589" s="11"/>
      <c r="D589" s="2"/>
    </row>
    <row r="590" spans="2:4" ht="16.5" customHeight="1">
      <c r="B590" s="156"/>
      <c r="C590" s="11"/>
      <c r="D590" s="2"/>
    </row>
    <row r="591" spans="2:4" ht="16.5" customHeight="1">
      <c r="B591" s="156"/>
      <c r="C591" s="11"/>
      <c r="D591" s="2"/>
    </row>
    <row r="592" spans="2:4" ht="16.5" customHeight="1">
      <c r="B592" s="156"/>
      <c r="C592" s="11"/>
      <c r="D592" s="2"/>
    </row>
    <row r="593" spans="2:4" ht="16.5" customHeight="1">
      <c r="B593" s="156"/>
      <c r="C593" s="11"/>
      <c r="D593" s="2"/>
    </row>
    <row r="594" spans="2:4" ht="16.5" customHeight="1">
      <c r="B594" s="156"/>
      <c r="C594" s="11"/>
      <c r="D594" s="2"/>
    </row>
    <row r="595" spans="2:4" ht="16.5" customHeight="1">
      <c r="B595" s="156"/>
      <c r="C595" s="11"/>
      <c r="D595" s="2"/>
    </row>
    <row r="596" spans="2:4" ht="16.5" customHeight="1">
      <c r="B596" s="156"/>
      <c r="C596" s="11"/>
      <c r="D596" s="2"/>
    </row>
    <row r="597" spans="2:4" ht="16.5" customHeight="1">
      <c r="B597" s="156"/>
      <c r="C597" s="11"/>
      <c r="D597" s="2"/>
    </row>
    <row r="598" spans="2:4" ht="16.5" customHeight="1">
      <c r="B598" s="156"/>
      <c r="C598" s="11"/>
      <c r="D598" s="2"/>
    </row>
    <row r="599" spans="2:4" ht="16.5" customHeight="1">
      <c r="B599" s="156"/>
      <c r="C599" s="11"/>
      <c r="D599" s="2"/>
    </row>
    <row r="600" spans="2:4" ht="16.5" customHeight="1">
      <c r="B600" s="156"/>
      <c r="C600" s="11"/>
      <c r="D600" s="2"/>
    </row>
    <row r="601" spans="2:4" ht="16.5" customHeight="1">
      <c r="B601" s="156"/>
      <c r="C601" s="11"/>
      <c r="D601" s="2"/>
    </row>
    <row r="602" spans="2:4" ht="16.5" customHeight="1">
      <c r="B602" s="156"/>
      <c r="C602" s="11"/>
      <c r="D602" s="2"/>
    </row>
    <row r="603" spans="2:4" ht="16.5" customHeight="1">
      <c r="B603" s="156"/>
      <c r="C603" s="11"/>
      <c r="D603" s="2"/>
    </row>
    <row r="604" spans="2:4" ht="16.5" customHeight="1">
      <c r="B604" s="156"/>
      <c r="C604" s="11"/>
      <c r="D604" s="2"/>
    </row>
    <row r="605" spans="2:4" ht="16.5" customHeight="1">
      <c r="B605" s="156"/>
      <c r="C605" s="11"/>
      <c r="D605" s="2"/>
    </row>
    <row r="606" spans="2:4" ht="16.5" customHeight="1">
      <c r="B606" s="156"/>
      <c r="C606" s="11"/>
      <c r="D606" s="2"/>
    </row>
    <row r="607" spans="2:4" ht="16.5" customHeight="1">
      <c r="B607" s="156"/>
      <c r="C607" s="11"/>
      <c r="D607" s="2"/>
    </row>
    <row r="608" spans="2:4" ht="16.5" customHeight="1">
      <c r="B608" s="156"/>
      <c r="C608" s="11"/>
      <c r="D608" s="2"/>
    </row>
    <row r="609" spans="2:4" ht="16.5" customHeight="1">
      <c r="B609" s="156"/>
      <c r="C609" s="11"/>
      <c r="D609" s="2"/>
    </row>
    <row r="610" spans="2:4" ht="16.5" customHeight="1">
      <c r="B610" s="156"/>
      <c r="C610" s="11"/>
      <c r="D610" s="2"/>
    </row>
    <row r="611" spans="1:4" ht="16.5" customHeight="1">
      <c r="A611" s="161"/>
      <c r="B611" s="161"/>
      <c r="C611" s="11"/>
      <c r="D611" s="2"/>
    </row>
    <row r="612" spans="1:4" ht="16.5" customHeight="1">
      <c r="A612" s="161"/>
      <c r="B612" s="161"/>
      <c r="C612" s="11"/>
      <c r="D612" s="2"/>
    </row>
    <row r="613" spans="1:4" ht="16.5" customHeight="1">
      <c r="A613" s="161"/>
      <c r="B613" s="161"/>
      <c r="C613" s="11"/>
      <c r="D613" s="2"/>
    </row>
    <row r="614" spans="1:4" ht="16.5" customHeight="1">
      <c r="A614" s="161"/>
      <c r="B614" s="161"/>
      <c r="C614" s="11"/>
      <c r="D614" s="2"/>
    </row>
    <row r="615" spans="1:4" ht="16.5" customHeight="1">
      <c r="A615" s="168"/>
      <c r="B615" s="168"/>
      <c r="C615" s="11"/>
      <c r="D615" s="2"/>
    </row>
    <row r="616" spans="1:4" ht="16.5" customHeight="1">
      <c r="A616" s="168"/>
      <c r="B616" s="168"/>
      <c r="C616" s="11"/>
      <c r="D616" s="2"/>
    </row>
    <row r="617" spans="1:4" ht="16.5" customHeight="1">
      <c r="A617" s="168"/>
      <c r="B617" s="168"/>
      <c r="C617" s="11"/>
      <c r="D617" s="2"/>
    </row>
    <row r="618" spans="1:4" ht="16.5" customHeight="1">
      <c r="A618" s="168"/>
      <c r="B618" s="168"/>
      <c r="C618" s="11"/>
      <c r="D618" s="2"/>
    </row>
    <row r="619" spans="1:4" ht="16.5" customHeight="1">
      <c r="A619" s="168"/>
      <c r="B619" s="168"/>
      <c r="C619" s="11"/>
      <c r="D619" s="2"/>
    </row>
    <row r="620" spans="1:4" ht="16.5" customHeight="1">
      <c r="A620" s="168"/>
      <c r="B620" s="168"/>
      <c r="C620" s="11"/>
      <c r="D620" s="2"/>
    </row>
    <row r="621" spans="1:4" ht="16.5" customHeight="1">
      <c r="A621" s="168"/>
      <c r="B621" s="168"/>
      <c r="C621" s="11"/>
      <c r="D621" s="2"/>
    </row>
    <row r="622" spans="1:4" ht="16.5" customHeight="1">
      <c r="A622" s="168"/>
      <c r="B622" s="168"/>
      <c r="C622" s="11"/>
      <c r="D622" s="2"/>
    </row>
    <row r="623" spans="1:4" ht="16.5" customHeight="1">
      <c r="A623" s="168"/>
      <c r="B623" s="168"/>
      <c r="C623" s="11"/>
      <c r="D623" s="2"/>
    </row>
    <row r="624" spans="1:4" ht="16.5" customHeight="1">
      <c r="A624" s="168"/>
      <c r="B624" s="168"/>
      <c r="C624" s="11"/>
      <c r="D624" s="2"/>
    </row>
    <row r="625" spans="1:4" ht="16.5" customHeight="1">
      <c r="A625" s="168"/>
      <c r="B625" s="168"/>
      <c r="C625" s="11"/>
      <c r="D625" s="2"/>
    </row>
    <row r="626" spans="1:4" ht="16.5" customHeight="1">
      <c r="A626" s="168"/>
      <c r="B626" s="168"/>
      <c r="C626" s="11"/>
      <c r="D626" s="2"/>
    </row>
    <row r="627" spans="1:4" ht="16.5" customHeight="1">
      <c r="A627" s="168"/>
      <c r="B627" s="168"/>
      <c r="C627" s="11"/>
      <c r="D627" s="2"/>
    </row>
    <row r="628" spans="1:4" ht="16.5" customHeight="1">
      <c r="A628" s="168"/>
      <c r="B628" s="168"/>
      <c r="C628" s="11"/>
      <c r="D628" s="2"/>
    </row>
    <row r="629" spans="1:4" ht="16.5" customHeight="1">
      <c r="A629" s="168"/>
      <c r="B629" s="168"/>
      <c r="C629" s="11"/>
      <c r="D629" s="2"/>
    </row>
    <row r="630" spans="1:4" ht="16.5" customHeight="1">
      <c r="A630" s="168"/>
      <c r="B630" s="168"/>
      <c r="C630" s="11"/>
      <c r="D630" s="2"/>
    </row>
    <row r="631" spans="1:4" ht="16.5" customHeight="1">
      <c r="A631" s="168"/>
      <c r="B631" s="168"/>
      <c r="C631" s="11"/>
      <c r="D631" s="2"/>
    </row>
    <row r="632" spans="1:4" ht="16.5" customHeight="1">
      <c r="A632" s="168"/>
      <c r="B632" s="168"/>
      <c r="C632" s="11"/>
      <c r="D632" s="2"/>
    </row>
    <row r="633" spans="1:4" ht="16.5" customHeight="1">
      <c r="A633" s="168"/>
      <c r="B633" s="168"/>
      <c r="C633" s="11"/>
      <c r="D633" s="2"/>
    </row>
    <row r="634" spans="1:4" ht="16.5" customHeight="1">
      <c r="A634" s="168"/>
      <c r="B634" s="168"/>
      <c r="C634" s="11"/>
      <c r="D634" s="2"/>
    </row>
    <row r="635" spans="1:4" ht="16.5" customHeight="1">
      <c r="A635" s="168"/>
      <c r="B635" s="168"/>
      <c r="C635" s="11"/>
      <c r="D635" s="2"/>
    </row>
    <row r="636" spans="1:4" ht="16.5" customHeight="1">
      <c r="A636" s="168"/>
      <c r="B636" s="170"/>
      <c r="C636" s="11"/>
      <c r="D636" s="2"/>
    </row>
    <row r="637" spans="1:4" ht="16.5" customHeight="1">
      <c r="A637" s="168"/>
      <c r="B637" s="171"/>
      <c r="C637" s="11"/>
      <c r="D637" s="2"/>
    </row>
    <row r="638" spans="1:4" ht="16.5" customHeight="1">
      <c r="A638" s="168"/>
      <c r="B638" s="168"/>
      <c r="C638" s="11"/>
      <c r="D638" s="2"/>
    </row>
    <row r="639" spans="1:4" ht="16.5" customHeight="1">
      <c r="A639" s="168"/>
      <c r="B639" s="168"/>
      <c r="C639" s="11"/>
      <c r="D639" s="2"/>
    </row>
    <row r="640" spans="1:4" ht="16.5" customHeight="1">
      <c r="A640" s="168"/>
      <c r="B640" s="168"/>
      <c r="C640" s="11"/>
      <c r="D640" s="2"/>
    </row>
    <row r="641" spans="1:4" ht="16.5" customHeight="1">
      <c r="A641" s="168"/>
      <c r="B641" s="168"/>
      <c r="C641" s="11"/>
      <c r="D641" s="2"/>
    </row>
    <row r="642" spans="1:4" ht="16.5" customHeight="1">
      <c r="A642" s="168"/>
      <c r="B642" s="168"/>
      <c r="C642" s="11"/>
      <c r="D642" s="2"/>
    </row>
    <row r="643" spans="1:4" ht="16.5" customHeight="1">
      <c r="A643" s="168"/>
      <c r="B643" s="168"/>
      <c r="C643" s="11"/>
      <c r="D643" s="2"/>
    </row>
    <row r="644" spans="1:4" ht="16.5" customHeight="1">
      <c r="A644" s="168"/>
      <c r="B644" s="168"/>
      <c r="C644" s="11"/>
      <c r="D644" s="2"/>
    </row>
    <row r="645" spans="1:4" ht="16.5" customHeight="1">
      <c r="A645" s="161"/>
      <c r="B645" s="161"/>
      <c r="C645" s="11"/>
      <c r="D645" s="2"/>
    </row>
    <row r="646" spans="1:4" ht="16.5" customHeight="1">
      <c r="A646" s="161"/>
      <c r="B646" s="161"/>
      <c r="C646" s="11"/>
      <c r="D646" s="2"/>
    </row>
    <row r="647" spans="1:4" ht="16.5" customHeight="1">
      <c r="A647" s="161"/>
      <c r="B647" s="161"/>
      <c r="C647" s="11"/>
      <c r="D647" s="2"/>
    </row>
    <row r="648" spans="1:4" ht="16.5" customHeight="1">
      <c r="A648" s="161"/>
      <c r="B648" s="161"/>
      <c r="C648" s="11"/>
      <c r="D648" s="2"/>
    </row>
    <row r="649" spans="1:4" ht="16.5" customHeight="1">
      <c r="A649" s="161"/>
      <c r="B649" s="161"/>
      <c r="C649" s="11"/>
      <c r="D649" s="2"/>
    </row>
    <row r="650" spans="1:4" ht="16.5" customHeight="1">
      <c r="A650" s="161"/>
      <c r="B650" s="161"/>
      <c r="C650" s="11"/>
      <c r="D650" s="2"/>
    </row>
    <row r="651" spans="2:4" ht="16.5" customHeight="1">
      <c r="B651" s="156"/>
      <c r="C651" s="11"/>
      <c r="D651" s="2"/>
    </row>
    <row r="652" spans="2:4" ht="16.5" customHeight="1">
      <c r="B652" s="156"/>
      <c r="C652" s="11"/>
      <c r="D652" s="2"/>
    </row>
    <row r="653" spans="2:4" ht="16.5" customHeight="1">
      <c r="B653" s="156"/>
      <c r="C653" s="11"/>
      <c r="D653" s="2"/>
    </row>
    <row r="654" spans="2:4" ht="16.5" customHeight="1">
      <c r="B654" s="156"/>
      <c r="C654" s="11"/>
      <c r="D654" s="2"/>
    </row>
    <row r="655" spans="2:4" ht="16.5" customHeight="1">
      <c r="B655" s="156"/>
      <c r="C655" s="11"/>
      <c r="D655" s="2"/>
    </row>
    <row r="656" spans="2:4" ht="16.5" customHeight="1">
      <c r="B656" s="156"/>
      <c r="C656" s="11"/>
      <c r="D656" s="2"/>
    </row>
    <row r="657" spans="2:4" ht="16.5" customHeight="1">
      <c r="B657" s="156"/>
      <c r="C657" s="11"/>
      <c r="D657" s="2"/>
    </row>
    <row r="658" spans="2:4" ht="16.5" customHeight="1">
      <c r="B658" s="156"/>
      <c r="C658" s="11"/>
      <c r="D658" s="2"/>
    </row>
    <row r="659" spans="2:4" ht="16.5" customHeight="1">
      <c r="B659" s="156"/>
      <c r="C659" s="11"/>
      <c r="D659" s="2"/>
    </row>
    <row r="660" spans="2:4" ht="16.5" customHeight="1">
      <c r="B660" s="156"/>
      <c r="C660" s="11"/>
      <c r="D660" s="2"/>
    </row>
    <row r="661" spans="2:4" ht="16.5" customHeight="1">
      <c r="B661" s="156"/>
      <c r="C661" s="11"/>
      <c r="D661" s="2"/>
    </row>
    <row r="662" spans="2:4" ht="16.5" customHeight="1">
      <c r="B662" s="156"/>
      <c r="C662" s="11"/>
      <c r="D662" s="2"/>
    </row>
    <row r="663" spans="2:4" ht="16.5" customHeight="1">
      <c r="B663" s="156"/>
      <c r="C663" s="11"/>
      <c r="D663" s="2"/>
    </row>
    <row r="664" spans="2:4" ht="16.5" customHeight="1">
      <c r="B664" s="156"/>
      <c r="C664" s="11"/>
      <c r="D664" s="2"/>
    </row>
    <row r="665" spans="2:4" ht="16.5" customHeight="1">
      <c r="B665" s="156"/>
      <c r="C665" s="11"/>
      <c r="D665" s="2"/>
    </row>
    <row r="666" spans="2:4" ht="16.5" customHeight="1">
      <c r="B666" s="156"/>
      <c r="C666" s="11"/>
      <c r="D666" s="2"/>
    </row>
    <row r="667" spans="2:4" ht="16.5" customHeight="1">
      <c r="B667" s="156"/>
      <c r="C667" s="11"/>
      <c r="D667" s="2"/>
    </row>
    <row r="668" spans="2:4" ht="16.5" customHeight="1">
      <c r="B668" s="156"/>
      <c r="C668" s="11"/>
      <c r="D668" s="2"/>
    </row>
    <row r="669" spans="2:4" ht="16.5" customHeight="1">
      <c r="B669" s="156"/>
      <c r="C669" s="11"/>
      <c r="D669" s="2"/>
    </row>
    <row r="670" spans="2:4" ht="16.5" customHeight="1">
      <c r="B670" s="156"/>
      <c r="C670" s="11"/>
      <c r="D670" s="2"/>
    </row>
    <row r="671" spans="2:4" ht="16.5" customHeight="1">
      <c r="B671" s="156"/>
      <c r="C671" s="11"/>
      <c r="D671" s="2"/>
    </row>
    <row r="672" spans="2:4" ht="16.5" customHeight="1">
      <c r="B672" s="156"/>
      <c r="C672" s="11"/>
      <c r="D672" s="2"/>
    </row>
    <row r="673" spans="2:4" ht="16.5" customHeight="1">
      <c r="B673" s="156"/>
      <c r="C673" s="11"/>
      <c r="D673" s="2"/>
    </row>
    <row r="674" spans="2:4" ht="16.5" customHeight="1">
      <c r="B674" s="156"/>
      <c r="C674" s="11"/>
      <c r="D674" s="2"/>
    </row>
    <row r="675" spans="2:4" ht="16.5" customHeight="1">
      <c r="B675" s="156"/>
      <c r="C675" s="11"/>
      <c r="D675" s="2"/>
    </row>
    <row r="676" spans="2:4" ht="16.5" customHeight="1">
      <c r="B676" s="156"/>
      <c r="C676" s="11"/>
      <c r="D676" s="2"/>
    </row>
    <row r="677" spans="2:4" ht="16.5" customHeight="1">
      <c r="B677" s="156"/>
      <c r="C677" s="11"/>
      <c r="D677" s="2"/>
    </row>
    <row r="678" spans="2:4" ht="16.5" customHeight="1">
      <c r="B678" s="156"/>
      <c r="C678" s="11"/>
      <c r="D678" s="2"/>
    </row>
    <row r="679" spans="2:4" ht="16.5" customHeight="1">
      <c r="B679" s="156"/>
      <c r="C679" s="11"/>
      <c r="D679" s="2"/>
    </row>
    <row r="680" spans="2:4" ht="16.5" customHeight="1">
      <c r="B680" s="156"/>
      <c r="C680" s="11"/>
      <c r="D680" s="2"/>
    </row>
    <row r="681" spans="2:4" ht="16.5" customHeight="1">
      <c r="B681" s="156"/>
      <c r="C681" s="11"/>
      <c r="D681" s="2"/>
    </row>
    <row r="682" spans="2:4" ht="16.5" customHeight="1">
      <c r="B682" s="156"/>
      <c r="C682" s="11"/>
      <c r="D682" s="2"/>
    </row>
    <row r="683" spans="2:4" ht="16.5" customHeight="1">
      <c r="B683" s="156"/>
      <c r="C683" s="11"/>
      <c r="D683" s="2"/>
    </row>
    <row r="684" spans="2:4" ht="16.5" customHeight="1">
      <c r="B684" s="156"/>
      <c r="C684" s="11"/>
      <c r="D684" s="2"/>
    </row>
    <row r="685" spans="2:4" ht="16.5" customHeight="1">
      <c r="B685" s="156"/>
      <c r="C685" s="11"/>
      <c r="D685" s="2"/>
    </row>
    <row r="686" spans="2:4" ht="16.5" customHeight="1">
      <c r="B686" s="156"/>
      <c r="C686" s="11"/>
      <c r="D686" s="2"/>
    </row>
    <row r="687" spans="2:4" ht="16.5" customHeight="1">
      <c r="B687" s="156"/>
      <c r="C687" s="11"/>
      <c r="D687" s="2"/>
    </row>
    <row r="688" spans="2:4" ht="16.5" customHeight="1">
      <c r="B688" s="156"/>
      <c r="C688" s="11"/>
      <c r="D688" s="2"/>
    </row>
    <row r="689" spans="2:4" ht="16.5" customHeight="1">
      <c r="B689" s="156"/>
      <c r="C689" s="11"/>
      <c r="D689" s="2"/>
    </row>
    <row r="690" spans="2:4" ht="16.5" customHeight="1">
      <c r="B690" s="156"/>
      <c r="C690" s="11"/>
      <c r="D690" s="2"/>
    </row>
    <row r="691" spans="2:4" ht="16.5" customHeight="1">
      <c r="B691" s="156"/>
      <c r="C691" s="11"/>
      <c r="D691" s="2"/>
    </row>
    <row r="692" spans="2:4" ht="16.5" customHeight="1">
      <c r="B692" s="156"/>
      <c r="C692" s="11"/>
      <c r="D692" s="2"/>
    </row>
    <row r="693" spans="2:4" ht="16.5" customHeight="1">
      <c r="B693" s="156"/>
      <c r="C693" s="11"/>
      <c r="D693" s="2"/>
    </row>
    <row r="694" spans="2:4" ht="16.5" customHeight="1">
      <c r="B694" s="156"/>
      <c r="C694" s="11"/>
      <c r="D694" s="2"/>
    </row>
    <row r="695" spans="2:4" ht="16.5" customHeight="1">
      <c r="B695" s="156"/>
      <c r="C695" s="11"/>
      <c r="D695" s="2"/>
    </row>
    <row r="696" spans="2:4" ht="16.5" customHeight="1">
      <c r="B696" s="156"/>
      <c r="C696" s="11"/>
      <c r="D696" s="2"/>
    </row>
    <row r="697" spans="2:4" ht="16.5" customHeight="1">
      <c r="B697" s="156"/>
      <c r="C697" s="11"/>
      <c r="D697" s="2"/>
    </row>
    <row r="698" spans="2:4" ht="16.5" customHeight="1">
      <c r="B698" s="156"/>
      <c r="C698" s="11"/>
      <c r="D698" s="2"/>
    </row>
    <row r="699" spans="2:4" ht="16.5" customHeight="1">
      <c r="B699" s="156"/>
      <c r="C699" s="11"/>
      <c r="D699" s="2"/>
    </row>
    <row r="700" spans="2:4" ht="16.5" customHeight="1">
      <c r="B700" s="156"/>
      <c r="C700" s="11"/>
      <c r="D700" s="2"/>
    </row>
    <row r="701" spans="2:4" ht="16.5" customHeight="1">
      <c r="B701" s="156"/>
      <c r="C701" s="11"/>
      <c r="D701" s="2"/>
    </row>
    <row r="702" spans="2:4" ht="16.5" customHeight="1">
      <c r="B702" s="156"/>
      <c r="C702" s="11"/>
      <c r="D702" s="2"/>
    </row>
    <row r="703" spans="2:4" ht="16.5" customHeight="1">
      <c r="B703" s="156"/>
      <c r="C703" s="11"/>
      <c r="D703" s="2"/>
    </row>
    <row r="704" spans="2:4" ht="16.5" customHeight="1">
      <c r="B704" s="156"/>
      <c r="C704" s="11"/>
      <c r="D704" s="2"/>
    </row>
    <row r="705" spans="2:4" ht="16.5" customHeight="1">
      <c r="B705" s="156"/>
      <c r="C705" s="11"/>
      <c r="D705" s="2"/>
    </row>
    <row r="706" spans="2:4" ht="16.5" customHeight="1">
      <c r="B706" s="156"/>
      <c r="C706" s="11"/>
      <c r="D706" s="2"/>
    </row>
    <row r="707" spans="2:4" ht="16.5" customHeight="1">
      <c r="B707" s="156"/>
      <c r="C707" s="11"/>
      <c r="D707" s="2"/>
    </row>
    <row r="708" spans="2:4" ht="16.5" customHeight="1">
      <c r="B708" s="156"/>
      <c r="C708" s="11"/>
      <c r="D708" s="2"/>
    </row>
    <row r="709" spans="2:4" ht="16.5" customHeight="1">
      <c r="B709" s="156"/>
      <c r="C709" s="11"/>
      <c r="D709" s="2"/>
    </row>
    <row r="710" spans="2:4" ht="16.5" customHeight="1">
      <c r="B710" s="156"/>
      <c r="C710" s="11"/>
      <c r="D710" s="2"/>
    </row>
    <row r="711" spans="2:4" ht="16.5" customHeight="1">
      <c r="B711" s="156"/>
      <c r="C711" s="11"/>
      <c r="D711" s="2"/>
    </row>
    <row r="712" spans="2:4" ht="16.5" customHeight="1">
      <c r="B712" s="156"/>
      <c r="C712" s="11"/>
      <c r="D712" s="2"/>
    </row>
    <row r="713" spans="2:4" ht="16.5" customHeight="1">
      <c r="B713" s="156"/>
      <c r="C713" s="11"/>
      <c r="D713" s="2"/>
    </row>
    <row r="714" spans="2:4" ht="16.5" customHeight="1">
      <c r="B714" s="156"/>
      <c r="C714" s="11"/>
      <c r="D714" s="2"/>
    </row>
    <row r="715" spans="2:4" ht="16.5" customHeight="1">
      <c r="B715" s="156"/>
      <c r="C715" s="11"/>
      <c r="D715" s="2"/>
    </row>
    <row r="716" spans="2:4" ht="16.5" customHeight="1">
      <c r="B716" s="156"/>
      <c r="C716" s="11"/>
      <c r="D716" s="2"/>
    </row>
    <row r="717" spans="2:4" ht="16.5" customHeight="1">
      <c r="B717" s="156"/>
      <c r="C717" s="11"/>
      <c r="D717" s="2"/>
    </row>
    <row r="718" spans="2:4" ht="16.5" customHeight="1">
      <c r="B718" s="156"/>
      <c r="C718" s="11"/>
      <c r="D718" s="2"/>
    </row>
    <row r="719" spans="2:4" ht="16.5" customHeight="1">
      <c r="B719" s="156"/>
      <c r="C719" s="11"/>
      <c r="D719" s="2"/>
    </row>
    <row r="720" spans="2:4" ht="16.5" customHeight="1">
      <c r="B720" s="156"/>
      <c r="C720" s="11"/>
      <c r="D720" s="2"/>
    </row>
    <row r="721" spans="2:4" ht="16.5" customHeight="1">
      <c r="B721" s="156"/>
      <c r="C721" s="11"/>
      <c r="D721" s="2"/>
    </row>
    <row r="722" spans="2:4" ht="16.5" customHeight="1">
      <c r="B722" s="156"/>
      <c r="C722" s="11"/>
      <c r="D722" s="2"/>
    </row>
    <row r="723" spans="2:4" ht="16.5" customHeight="1">
      <c r="B723" s="156"/>
      <c r="C723" s="11"/>
      <c r="D723" s="2"/>
    </row>
    <row r="724" spans="2:4" ht="16.5" customHeight="1">
      <c r="B724" s="156"/>
      <c r="C724" s="11"/>
      <c r="D724" s="2"/>
    </row>
    <row r="725" spans="2:4" ht="16.5" customHeight="1">
      <c r="B725" s="156"/>
      <c r="C725" s="11"/>
      <c r="D725" s="2"/>
    </row>
    <row r="726" spans="2:4" ht="16.5" customHeight="1">
      <c r="B726" s="156"/>
      <c r="C726" s="11"/>
      <c r="D726" s="2"/>
    </row>
    <row r="727" spans="2:4" ht="16.5" customHeight="1">
      <c r="B727" s="156"/>
      <c r="C727" s="11"/>
      <c r="D727" s="2"/>
    </row>
    <row r="728" spans="2:4" ht="16.5" customHeight="1">
      <c r="B728" s="156"/>
      <c r="C728" s="11"/>
      <c r="D728" s="2"/>
    </row>
    <row r="729" spans="2:4" ht="16.5" customHeight="1">
      <c r="B729" s="156"/>
      <c r="C729" s="11"/>
      <c r="D729" s="2"/>
    </row>
    <row r="730" spans="2:4" ht="16.5" customHeight="1">
      <c r="B730" s="156"/>
      <c r="C730" s="11"/>
      <c r="D730" s="2"/>
    </row>
    <row r="731" spans="2:4" ht="16.5" customHeight="1">
      <c r="B731" s="156"/>
      <c r="C731" s="11"/>
      <c r="D731" s="2"/>
    </row>
    <row r="732" spans="2:4" ht="16.5" customHeight="1">
      <c r="B732" s="156"/>
      <c r="C732" s="11"/>
      <c r="D732" s="2"/>
    </row>
    <row r="733" spans="2:4" ht="16.5" customHeight="1">
      <c r="B733" s="156"/>
      <c r="C733" s="11"/>
      <c r="D733" s="2"/>
    </row>
    <row r="734" spans="2:4" ht="16.5" customHeight="1">
      <c r="B734" s="156"/>
      <c r="C734" s="11"/>
      <c r="D734" s="2"/>
    </row>
    <row r="735" spans="2:4" ht="16.5" customHeight="1">
      <c r="B735" s="156"/>
      <c r="C735" s="11"/>
      <c r="D735" s="2"/>
    </row>
    <row r="736" spans="2:4" ht="16.5" customHeight="1">
      <c r="B736" s="156"/>
      <c r="C736" s="11"/>
      <c r="D736" s="2"/>
    </row>
    <row r="737" spans="2:4" ht="16.5" customHeight="1">
      <c r="B737" s="156"/>
      <c r="C737" s="11"/>
      <c r="D737" s="2"/>
    </row>
    <row r="738" spans="2:4" ht="16.5" customHeight="1">
      <c r="B738" s="156"/>
      <c r="C738" s="11"/>
      <c r="D738" s="2"/>
    </row>
    <row r="739" spans="2:4" ht="16.5" customHeight="1">
      <c r="B739" s="156"/>
      <c r="C739" s="11"/>
      <c r="D739" s="2"/>
    </row>
    <row r="740" spans="2:4" ht="16.5" customHeight="1">
      <c r="B740" s="156"/>
      <c r="C740" s="11"/>
      <c r="D740" s="2"/>
    </row>
    <row r="741" spans="2:4" ht="16.5" customHeight="1">
      <c r="B741" s="156"/>
      <c r="C741" s="11"/>
      <c r="D741" s="2"/>
    </row>
    <row r="742" spans="2:4" ht="16.5" customHeight="1">
      <c r="B742" s="156"/>
      <c r="C742" s="11"/>
      <c r="D742" s="2"/>
    </row>
    <row r="743" spans="2:4" ht="16.5" customHeight="1">
      <c r="B743" s="156"/>
      <c r="C743" s="11"/>
      <c r="D743" s="2"/>
    </row>
    <row r="744" spans="2:4" ht="16.5" customHeight="1">
      <c r="B744" s="156"/>
      <c r="C744" s="11"/>
      <c r="D744" s="2"/>
    </row>
    <row r="745" spans="2:4" ht="16.5" customHeight="1">
      <c r="B745" s="156"/>
      <c r="C745" s="11"/>
      <c r="D745" s="2"/>
    </row>
    <row r="746" spans="2:4" ht="16.5" customHeight="1">
      <c r="B746" s="156"/>
      <c r="C746" s="11"/>
      <c r="D746" s="2"/>
    </row>
    <row r="747" spans="2:4" ht="16.5" customHeight="1">
      <c r="B747" s="156"/>
      <c r="C747" s="11"/>
      <c r="D747" s="2"/>
    </row>
    <row r="748" spans="2:4" ht="16.5" customHeight="1">
      <c r="B748" s="156"/>
      <c r="C748" s="11"/>
      <c r="D748" s="2"/>
    </row>
    <row r="749" spans="2:4" ht="16.5" customHeight="1">
      <c r="B749" s="156"/>
      <c r="C749" s="11"/>
      <c r="D749" s="2"/>
    </row>
    <row r="750" spans="2:4" ht="16.5" customHeight="1">
      <c r="B750" s="156"/>
      <c r="C750" s="11"/>
      <c r="D750" s="2"/>
    </row>
    <row r="751" spans="2:4" ht="16.5" customHeight="1">
      <c r="B751" s="156"/>
      <c r="C751" s="11"/>
      <c r="D751" s="2"/>
    </row>
    <row r="752" spans="2:4" ht="16.5" customHeight="1">
      <c r="B752" s="156"/>
      <c r="C752" s="11"/>
      <c r="D752" s="2"/>
    </row>
    <row r="753" spans="2:4" ht="16.5" customHeight="1">
      <c r="B753" s="156"/>
      <c r="C753" s="11"/>
      <c r="D753" s="2"/>
    </row>
    <row r="754" spans="2:4" ht="16.5" customHeight="1">
      <c r="B754" s="156"/>
      <c r="C754" s="11"/>
      <c r="D754" s="2"/>
    </row>
    <row r="755" spans="2:4" ht="16.5" customHeight="1">
      <c r="B755" s="156"/>
      <c r="C755" s="11"/>
      <c r="D755" s="2"/>
    </row>
    <row r="756" spans="2:4" ht="16.5" customHeight="1">
      <c r="B756" s="156"/>
      <c r="C756" s="11"/>
      <c r="D756" s="2"/>
    </row>
    <row r="757" spans="2:4" ht="16.5" customHeight="1">
      <c r="B757" s="156"/>
      <c r="C757" s="11"/>
      <c r="D757" s="2"/>
    </row>
    <row r="758" spans="2:4" ht="16.5" customHeight="1">
      <c r="B758" s="156"/>
      <c r="C758" s="11"/>
      <c r="D758" s="2"/>
    </row>
    <row r="759" spans="2:4" ht="16.5" customHeight="1">
      <c r="B759" s="156"/>
      <c r="C759" s="11"/>
      <c r="D759" s="2"/>
    </row>
    <row r="760" spans="2:4" ht="16.5" customHeight="1">
      <c r="B760" s="156"/>
      <c r="C760" s="11"/>
      <c r="D760" s="2"/>
    </row>
    <row r="761" spans="2:4" ht="16.5" customHeight="1">
      <c r="B761" s="156"/>
      <c r="C761" s="11"/>
      <c r="D761" s="2"/>
    </row>
    <row r="762" spans="2:4" ht="16.5" customHeight="1">
      <c r="B762" s="156"/>
      <c r="C762" s="11"/>
      <c r="D762" s="2"/>
    </row>
    <row r="763" spans="2:4" ht="16.5" customHeight="1">
      <c r="B763" s="156"/>
      <c r="C763" s="11"/>
      <c r="D763" s="2"/>
    </row>
    <row r="764" spans="2:4" ht="16.5" customHeight="1">
      <c r="B764" s="156"/>
      <c r="C764" s="11"/>
      <c r="D764" s="2"/>
    </row>
    <row r="765" spans="2:4" ht="16.5" customHeight="1">
      <c r="B765" s="156"/>
      <c r="C765" s="11"/>
      <c r="D765" s="2"/>
    </row>
    <row r="766" spans="2:4" ht="16.5" customHeight="1">
      <c r="B766" s="156"/>
      <c r="C766" s="11"/>
      <c r="D766" s="2"/>
    </row>
    <row r="767" spans="2:4" ht="16.5" customHeight="1">
      <c r="B767" s="156"/>
      <c r="C767" s="11"/>
      <c r="D767" s="2"/>
    </row>
    <row r="768" spans="2:4" ht="16.5" customHeight="1">
      <c r="B768" s="156"/>
      <c r="C768" s="11"/>
      <c r="D768" s="2"/>
    </row>
    <row r="769" spans="2:4" ht="16.5" customHeight="1">
      <c r="B769" s="156"/>
      <c r="C769" s="11"/>
      <c r="D769" s="2"/>
    </row>
    <row r="770" spans="2:4" ht="16.5" customHeight="1">
      <c r="B770" s="156"/>
      <c r="C770" s="11"/>
      <c r="D770" s="2"/>
    </row>
    <row r="771" spans="2:4" ht="16.5" customHeight="1">
      <c r="B771" s="156"/>
      <c r="C771" s="11"/>
      <c r="D771" s="2"/>
    </row>
    <row r="772" spans="2:4" ht="16.5" customHeight="1">
      <c r="B772" s="156"/>
      <c r="C772" s="11"/>
      <c r="D772" s="2"/>
    </row>
    <row r="773" spans="2:4" ht="16.5" customHeight="1">
      <c r="B773" s="156"/>
      <c r="C773" s="11"/>
      <c r="D773" s="2"/>
    </row>
    <row r="774" spans="2:4" ht="16.5" customHeight="1">
      <c r="B774" s="156"/>
      <c r="C774" s="11"/>
      <c r="D774" s="2"/>
    </row>
    <row r="775" spans="2:4" ht="16.5" customHeight="1">
      <c r="B775" s="156"/>
      <c r="C775" s="11"/>
      <c r="D775" s="2"/>
    </row>
    <row r="776" spans="2:4" ht="16.5" customHeight="1">
      <c r="B776" s="156"/>
      <c r="C776" s="11"/>
      <c r="D776" s="2"/>
    </row>
    <row r="777" spans="2:4" ht="16.5" customHeight="1">
      <c r="B777" s="156"/>
      <c r="C777" s="11"/>
      <c r="D777" s="2"/>
    </row>
    <row r="778" spans="2:4" ht="16.5" customHeight="1">
      <c r="B778" s="156"/>
      <c r="C778" s="11"/>
      <c r="D778" s="2"/>
    </row>
    <row r="779" spans="2:4" ht="16.5" customHeight="1">
      <c r="B779" s="156"/>
      <c r="C779" s="11"/>
      <c r="D779" s="2"/>
    </row>
    <row r="780" spans="2:4" ht="16.5" customHeight="1">
      <c r="B780" s="156"/>
      <c r="C780" s="11"/>
      <c r="D780" s="2"/>
    </row>
    <row r="781" spans="2:4" ht="16.5" customHeight="1">
      <c r="B781" s="156"/>
      <c r="C781" s="11"/>
      <c r="D781" s="2"/>
    </row>
    <row r="782" spans="2:4" ht="16.5" customHeight="1">
      <c r="B782" s="156"/>
      <c r="C782" s="11"/>
      <c r="D782" s="2"/>
    </row>
    <row r="783" spans="2:4" ht="16.5" customHeight="1">
      <c r="B783" s="156"/>
      <c r="C783" s="11"/>
      <c r="D783" s="2"/>
    </row>
    <row r="784" spans="2:4" ht="16.5" customHeight="1">
      <c r="B784" s="156"/>
      <c r="C784" s="11"/>
      <c r="D784" s="2"/>
    </row>
    <row r="785" spans="2:4" ht="16.5" customHeight="1">
      <c r="B785" s="156"/>
      <c r="C785" s="11"/>
      <c r="D785" s="2"/>
    </row>
    <row r="786" spans="2:4" ht="16.5" customHeight="1">
      <c r="B786" s="156"/>
      <c r="C786" s="11"/>
      <c r="D786" s="2"/>
    </row>
    <row r="787" spans="2:4" ht="16.5" customHeight="1">
      <c r="B787" s="156"/>
      <c r="C787" s="11"/>
      <c r="D787" s="2"/>
    </row>
    <row r="788" spans="2:4" ht="16.5" customHeight="1">
      <c r="B788" s="156"/>
      <c r="C788" s="11"/>
      <c r="D788" s="2"/>
    </row>
    <row r="789" spans="2:4" ht="16.5" customHeight="1">
      <c r="B789" s="156"/>
      <c r="C789" s="11"/>
      <c r="D789" s="2"/>
    </row>
    <row r="790" spans="2:4" ht="16.5" customHeight="1">
      <c r="B790" s="156"/>
      <c r="C790" s="11"/>
      <c r="D790" s="2"/>
    </row>
    <row r="791" spans="2:4" ht="16.5" customHeight="1">
      <c r="B791" s="156"/>
      <c r="C791" s="11"/>
      <c r="D791" s="2"/>
    </row>
    <row r="792" spans="2:4" ht="16.5" customHeight="1">
      <c r="B792" s="156"/>
      <c r="C792" s="11"/>
      <c r="D792" s="2"/>
    </row>
    <row r="793" spans="2:4" ht="16.5" customHeight="1">
      <c r="B793" s="156"/>
      <c r="C793" s="11"/>
      <c r="D793" s="2"/>
    </row>
    <row r="794" spans="2:4" ht="16.5" customHeight="1">
      <c r="B794" s="156"/>
      <c r="C794" s="11"/>
      <c r="D794" s="2"/>
    </row>
    <row r="795" spans="2:4" ht="16.5" customHeight="1">
      <c r="B795" s="156"/>
      <c r="C795" s="11"/>
      <c r="D795" s="2"/>
    </row>
    <row r="796" spans="2:4" ht="16.5" customHeight="1">
      <c r="B796" s="156"/>
      <c r="C796" s="11"/>
      <c r="D796" s="2"/>
    </row>
    <row r="797" spans="2:4" ht="16.5" customHeight="1">
      <c r="B797" s="156"/>
      <c r="C797" s="11"/>
      <c r="D797" s="2"/>
    </row>
    <row r="798" spans="2:4" ht="16.5" customHeight="1">
      <c r="B798" s="156"/>
      <c r="C798" s="11"/>
      <c r="D798" s="2"/>
    </row>
    <row r="799" spans="2:4" ht="16.5" customHeight="1">
      <c r="B799" s="156"/>
      <c r="C799" s="11"/>
      <c r="D799" s="2"/>
    </row>
    <row r="800" spans="2:4" ht="16.5" customHeight="1">
      <c r="B800" s="156"/>
      <c r="C800" s="11"/>
      <c r="D800" s="2"/>
    </row>
    <row r="801" spans="2:4" ht="16.5" customHeight="1">
      <c r="B801" s="156"/>
      <c r="C801" s="11"/>
      <c r="D801" s="2"/>
    </row>
    <row r="802" spans="2:4" ht="16.5" customHeight="1">
      <c r="B802" s="156"/>
      <c r="C802" s="11"/>
      <c r="D802" s="2"/>
    </row>
    <row r="803" spans="2:4" ht="16.5" customHeight="1">
      <c r="B803" s="156"/>
      <c r="C803" s="11"/>
      <c r="D803" s="2"/>
    </row>
    <row r="804" spans="2:4" ht="16.5" customHeight="1">
      <c r="B804" s="156"/>
      <c r="C804" s="11"/>
      <c r="D804" s="2"/>
    </row>
    <row r="805" spans="2:4" ht="16.5" customHeight="1">
      <c r="B805" s="156"/>
      <c r="C805" s="11"/>
      <c r="D805" s="2"/>
    </row>
    <row r="806" spans="2:4" ht="16.5" customHeight="1">
      <c r="B806" s="156"/>
      <c r="C806" s="11"/>
      <c r="D806" s="2"/>
    </row>
    <row r="807" spans="2:4" ht="16.5" customHeight="1">
      <c r="B807" s="156"/>
      <c r="C807" s="11"/>
      <c r="D807" s="2"/>
    </row>
    <row r="808" spans="2:4" ht="16.5" customHeight="1">
      <c r="B808" s="156"/>
      <c r="C808" s="11"/>
      <c r="D808" s="2"/>
    </row>
    <row r="809" spans="2:4" ht="16.5" customHeight="1">
      <c r="B809" s="156"/>
      <c r="C809" s="11"/>
      <c r="D809" s="2"/>
    </row>
    <row r="810" spans="2:4" ht="16.5" customHeight="1">
      <c r="B810" s="156"/>
      <c r="C810" s="11"/>
      <c r="D810" s="2"/>
    </row>
    <row r="811" spans="2:4" ht="16.5" customHeight="1">
      <c r="B811" s="156"/>
      <c r="C811" s="11"/>
      <c r="D811" s="2"/>
    </row>
    <row r="812" spans="2:4" ht="16.5" customHeight="1">
      <c r="B812" s="156"/>
      <c r="C812" s="11"/>
      <c r="D812" s="2"/>
    </row>
    <row r="813" spans="2:4" ht="16.5" customHeight="1">
      <c r="B813" s="156"/>
      <c r="C813" s="11"/>
      <c r="D813" s="2"/>
    </row>
    <row r="814" spans="2:4" ht="16.5" customHeight="1">
      <c r="B814" s="156"/>
      <c r="C814" s="11"/>
      <c r="D814" s="2"/>
    </row>
    <row r="815" spans="2:4" ht="16.5" customHeight="1">
      <c r="B815" s="156"/>
      <c r="C815" s="11"/>
      <c r="D815" s="2"/>
    </row>
    <row r="816" spans="2:4" ht="16.5" customHeight="1">
      <c r="B816" s="156"/>
      <c r="C816" s="11"/>
      <c r="D816" s="2"/>
    </row>
    <row r="817" spans="2:4" ht="16.5" customHeight="1">
      <c r="B817" s="156"/>
      <c r="C817" s="11"/>
      <c r="D817" s="2"/>
    </row>
    <row r="818" spans="2:4" ht="16.5" customHeight="1">
      <c r="B818" s="156"/>
      <c r="C818" s="11"/>
      <c r="D818" s="2"/>
    </row>
    <row r="819" spans="2:4" ht="16.5" customHeight="1">
      <c r="B819" s="156"/>
      <c r="C819" s="11"/>
      <c r="D819" s="2"/>
    </row>
    <row r="820" spans="2:4" ht="16.5" customHeight="1">
      <c r="B820" s="156"/>
      <c r="C820" s="11"/>
      <c r="D820" s="2"/>
    </row>
    <row r="821" spans="2:4" ht="16.5" customHeight="1">
      <c r="B821" s="156"/>
      <c r="C821" s="11"/>
      <c r="D821" s="2"/>
    </row>
    <row r="822" spans="2:4" ht="16.5" customHeight="1">
      <c r="B822" s="156"/>
      <c r="C822" s="11"/>
      <c r="D822" s="2"/>
    </row>
    <row r="823" spans="2:4" ht="16.5" customHeight="1">
      <c r="B823" s="156"/>
      <c r="C823" s="11"/>
      <c r="D823" s="2"/>
    </row>
    <row r="824" spans="2:4" ht="16.5" customHeight="1">
      <c r="B824" s="156"/>
      <c r="C824" s="11"/>
      <c r="D824" s="2"/>
    </row>
    <row r="825" spans="2:4" ht="16.5" customHeight="1">
      <c r="B825" s="156"/>
      <c r="C825" s="11"/>
      <c r="D825" s="2"/>
    </row>
    <row r="826" spans="2:4" ht="16.5" customHeight="1">
      <c r="B826" s="156"/>
      <c r="C826" s="11"/>
      <c r="D826" s="2"/>
    </row>
    <row r="827" spans="2:4" ht="16.5" customHeight="1">
      <c r="B827" s="156"/>
      <c r="C827" s="11"/>
      <c r="D827" s="2"/>
    </row>
    <row r="828" spans="2:4" ht="16.5" customHeight="1">
      <c r="B828" s="156"/>
      <c r="C828" s="11"/>
      <c r="D828" s="2"/>
    </row>
    <row r="829" spans="2:4" ht="16.5" customHeight="1">
      <c r="B829" s="156"/>
      <c r="C829" s="11"/>
      <c r="D829" s="2"/>
    </row>
    <row r="830" spans="2:4" ht="16.5" customHeight="1">
      <c r="B830" s="156"/>
      <c r="C830" s="11"/>
      <c r="D830" s="2"/>
    </row>
    <row r="831" spans="2:4" ht="16.5" customHeight="1">
      <c r="B831" s="156"/>
      <c r="C831" s="11"/>
      <c r="D831" s="2"/>
    </row>
    <row r="832" spans="2:4" ht="16.5" customHeight="1">
      <c r="B832" s="156"/>
      <c r="C832" s="11"/>
      <c r="D832" s="2"/>
    </row>
    <row r="833" spans="2:4" ht="16.5" customHeight="1">
      <c r="B833" s="156"/>
      <c r="C833" s="11"/>
      <c r="D833" s="2"/>
    </row>
    <row r="834" spans="2:4" ht="16.5" customHeight="1">
      <c r="B834" s="156"/>
      <c r="C834" s="11"/>
      <c r="D834" s="2"/>
    </row>
    <row r="835" spans="2:4" ht="16.5" customHeight="1">
      <c r="B835" s="156"/>
      <c r="C835" s="11"/>
      <c r="D835" s="2"/>
    </row>
    <row r="836" spans="2:4" ht="16.5" customHeight="1">
      <c r="B836" s="156"/>
      <c r="C836" s="11"/>
      <c r="D836" s="2"/>
    </row>
    <row r="837" spans="2:4" ht="16.5" customHeight="1">
      <c r="B837" s="156"/>
      <c r="C837" s="11"/>
      <c r="D837" s="2"/>
    </row>
    <row r="838" spans="2:4" ht="16.5" customHeight="1">
      <c r="B838" s="156"/>
      <c r="C838" s="11"/>
      <c r="D838" s="2"/>
    </row>
    <row r="839" spans="2:4" ht="16.5" customHeight="1">
      <c r="B839" s="156"/>
      <c r="C839" s="11"/>
      <c r="D839" s="2"/>
    </row>
    <row r="840" spans="2:4" ht="16.5" customHeight="1">
      <c r="B840" s="156"/>
      <c r="C840" s="11"/>
      <c r="D840" s="2"/>
    </row>
    <row r="841" spans="2:4" ht="16.5" customHeight="1">
      <c r="B841" s="156"/>
      <c r="C841" s="11"/>
      <c r="D841" s="2"/>
    </row>
    <row r="842" spans="2:4" ht="16.5" customHeight="1">
      <c r="B842" s="156"/>
      <c r="C842" s="11"/>
      <c r="D842" s="2"/>
    </row>
    <row r="843" spans="2:4" ht="16.5" customHeight="1">
      <c r="B843" s="156"/>
      <c r="C843" s="11"/>
      <c r="D843" s="2"/>
    </row>
    <row r="844" spans="2:4" ht="16.5" customHeight="1">
      <c r="B844" s="156"/>
      <c r="C844" s="11"/>
      <c r="D844" s="2"/>
    </row>
    <row r="845" spans="2:4" ht="16.5" customHeight="1">
      <c r="B845" s="156"/>
      <c r="C845" s="11"/>
      <c r="D845" s="2"/>
    </row>
    <row r="846" spans="2:4" ht="16.5" customHeight="1">
      <c r="B846" s="156"/>
      <c r="C846" s="11"/>
      <c r="D846" s="2"/>
    </row>
    <row r="847" spans="2:4" ht="16.5" customHeight="1">
      <c r="B847" s="156"/>
      <c r="C847" s="11"/>
      <c r="D847" s="2"/>
    </row>
    <row r="848" spans="2:4" ht="16.5" customHeight="1">
      <c r="B848" s="156"/>
      <c r="C848" s="11"/>
      <c r="D848" s="2"/>
    </row>
    <row r="849" spans="2:4" ht="16.5" customHeight="1">
      <c r="B849" s="156"/>
      <c r="C849" s="11"/>
      <c r="D849" s="2"/>
    </row>
    <row r="850" spans="2:4" ht="16.5" customHeight="1">
      <c r="B850" s="156"/>
      <c r="C850" s="11"/>
      <c r="D850" s="2"/>
    </row>
    <row r="851" spans="2:4" ht="16.5" customHeight="1">
      <c r="B851" s="156"/>
      <c r="C851" s="11"/>
      <c r="D851" s="2"/>
    </row>
    <row r="852" spans="2:4" ht="16.5" customHeight="1">
      <c r="B852" s="156"/>
      <c r="C852" s="11"/>
      <c r="D852" s="2"/>
    </row>
  </sheetData>
  <sheetProtection/>
  <mergeCells count="8">
    <mergeCell ref="A3:D3"/>
    <mergeCell ref="A57:D57"/>
    <mergeCell ref="A58:D58"/>
    <mergeCell ref="A1:D1"/>
    <mergeCell ref="A2:D2"/>
    <mergeCell ref="A44:D44"/>
    <mergeCell ref="A45:D45"/>
    <mergeCell ref="A56:D56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6"/>
  <sheetViews>
    <sheetView view="pageBreakPreview" zoomScale="99" zoomScaleSheetLayoutView="99" zoomScalePageLayoutView="0" workbookViewId="0" topLeftCell="A88">
      <selection activeCell="D96" sqref="D96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3" t="s">
        <v>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6.5">
      <c r="A2" s="343" t="s">
        <v>546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6.5">
      <c r="A3" s="344" t="s">
        <v>526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="124" customFormat="1" ht="14.25">
      <c r="Q4" s="192"/>
    </row>
    <row r="5" spans="1:18" s="65" customFormat="1" ht="14.25">
      <c r="A5" s="66" t="s">
        <v>116</v>
      </c>
      <c r="B5" s="345" t="s">
        <v>93</v>
      </c>
      <c r="C5" s="346" t="s">
        <v>94</v>
      </c>
      <c r="D5" s="346"/>
      <c r="E5" s="346"/>
      <c r="F5" s="88" t="s">
        <v>95</v>
      </c>
      <c r="G5" s="346" t="s">
        <v>96</v>
      </c>
      <c r="H5" s="346"/>
      <c r="I5" s="346" t="s">
        <v>97</v>
      </c>
      <c r="J5" s="346"/>
      <c r="K5" s="346" t="s">
        <v>99</v>
      </c>
      <c r="L5" s="346"/>
      <c r="M5" s="347" t="s">
        <v>400</v>
      </c>
      <c r="N5" s="348"/>
      <c r="O5" s="347" t="s">
        <v>100</v>
      </c>
      <c r="P5" s="348"/>
      <c r="Q5" s="215" t="s">
        <v>114</v>
      </c>
      <c r="R5" s="349" t="s">
        <v>19</v>
      </c>
    </row>
    <row r="6" spans="1:18" s="65" customFormat="1" ht="14.25">
      <c r="A6" s="67" t="s">
        <v>117</v>
      </c>
      <c r="B6" s="345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506</v>
      </c>
      <c r="N6" s="88" t="s">
        <v>399</v>
      </c>
      <c r="O6" s="88" t="s">
        <v>110</v>
      </c>
      <c r="P6" s="88" t="s">
        <v>111</v>
      </c>
      <c r="Q6" s="193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f>94000-6152</f>
        <v>87848</v>
      </c>
      <c r="C8" s="68" t="s">
        <v>260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87848</v>
      </c>
    </row>
    <row r="9" spans="1:18" ht="14.25">
      <c r="A9" s="91" t="s">
        <v>264</v>
      </c>
      <c r="B9" s="71">
        <f>30000-2500</f>
        <v>27500</v>
      </c>
      <c r="C9" s="71"/>
      <c r="D9" s="71"/>
      <c r="E9" s="71"/>
      <c r="F9" s="71" t="s">
        <v>260</v>
      </c>
      <c r="G9" s="217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27500</v>
      </c>
    </row>
    <row r="10" spans="1:18" ht="14.25">
      <c r="A10" s="91" t="s">
        <v>265</v>
      </c>
      <c r="B10" s="71">
        <f>287540-46000</f>
        <v>241540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241540</v>
      </c>
    </row>
    <row r="11" spans="1:18" ht="14.25">
      <c r="A11" s="91" t="s">
        <v>266</v>
      </c>
      <c r="B11" s="71">
        <v>140000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140000</v>
      </c>
    </row>
    <row r="12" spans="1:18" ht="14.25">
      <c r="A12" s="91" t="s">
        <v>267</v>
      </c>
      <c r="B12" s="87">
        <v>147240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SUM(B12)</f>
        <v>147240</v>
      </c>
    </row>
    <row r="13" spans="1:18" ht="15" thickBot="1">
      <c r="A13" s="91" t="s">
        <v>36</v>
      </c>
      <c r="B13" s="73">
        <f>SUM(B8:B12)</f>
        <v>644128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>
        <v>0</v>
      </c>
      <c r="O13" s="62">
        <v>0</v>
      </c>
      <c r="P13" s="62">
        <v>0</v>
      </c>
      <c r="Q13" s="62"/>
      <c r="R13" s="73">
        <f>SUM(B13:P13)</f>
        <v>644128</v>
      </c>
    </row>
    <row r="14" spans="1:18" ht="15" thickTop="1">
      <c r="A14" s="93" t="s">
        <v>268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269</v>
      </c>
      <c r="B15" s="77"/>
      <c r="C15" s="71">
        <f>520000-42840</f>
        <v>477160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0">SUM(C15:P15)</f>
        <v>477160</v>
      </c>
    </row>
    <row r="16" spans="1:18" ht="14.25">
      <c r="A16" s="90" t="s">
        <v>270</v>
      </c>
      <c r="B16" s="78"/>
      <c r="C16" s="78">
        <f>43000-3510</f>
        <v>39490</v>
      </c>
      <c r="D16" s="78"/>
      <c r="E16" s="78"/>
      <c r="F16" s="78"/>
      <c r="G16" s="78">
        <v>0</v>
      </c>
      <c r="H16" s="78"/>
      <c r="I16" s="78"/>
      <c r="J16" s="78"/>
      <c r="K16" s="78">
        <v>0</v>
      </c>
      <c r="L16" s="78"/>
      <c r="M16" s="78"/>
      <c r="N16" s="78"/>
      <c r="O16" s="78"/>
      <c r="P16" s="68"/>
      <c r="Q16" s="78"/>
      <c r="R16" s="68">
        <f t="shared" si="0"/>
        <v>39490</v>
      </c>
    </row>
    <row r="17" spans="1:18" ht="14.25">
      <c r="A17" s="91" t="s">
        <v>271</v>
      </c>
      <c r="B17" s="77"/>
      <c r="C17" s="77">
        <f>43000-3510</f>
        <v>39490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71"/>
      <c r="Q17" s="77"/>
      <c r="R17" s="71">
        <f t="shared" si="0"/>
        <v>39490</v>
      </c>
    </row>
    <row r="18" spans="1:18" ht="14.25">
      <c r="A18" s="91" t="s">
        <v>272</v>
      </c>
      <c r="B18" s="77"/>
      <c r="C18" s="71">
        <f>87000-7200</f>
        <v>79800</v>
      </c>
      <c r="D18" s="77"/>
      <c r="E18" s="77"/>
      <c r="F18" s="77"/>
      <c r="G18" s="77"/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79800</v>
      </c>
    </row>
    <row r="19" spans="1:18" ht="14.25">
      <c r="A19" s="90" t="s">
        <v>273</v>
      </c>
      <c r="B19" s="78"/>
      <c r="C19" s="78">
        <f>2059600-171600</f>
        <v>1888000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1888000</v>
      </c>
    </row>
    <row r="20" spans="1:18" ht="14.25">
      <c r="A20" s="91" t="s">
        <v>274</v>
      </c>
      <c r="B20" s="77"/>
      <c r="C20" s="71">
        <f>87000-7200</f>
        <v>79800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79800</v>
      </c>
    </row>
    <row r="21" spans="1:18" ht="15" thickBot="1">
      <c r="A21" s="91" t="s">
        <v>36</v>
      </c>
      <c r="B21" s="94"/>
      <c r="C21" s="81">
        <f>SUM(C15:C20)</f>
        <v>2603740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  <c r="N21" s="94">
        <v>0</v>
      </c>
      <c r="O21" s="94">
        <v>0</v>
      </c>
      <c r="P21" s="94">
        <v>0</v>
      </c>
      <c r="Q21" s="94"/>
      <c r="R21" s="74">
        <f>SUM(R15:R20)</f>
        <v>2603740</v>
      </c>
    </row>
    <row r="22" spans="1:18" ht="15" thickTop="1">
      <c r="A22" s="90" t="s">
        <v>275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276</v>
      </c>
      <c r="B23" s="77"/>
      <c r="C23" s="77">
        <f>2166000-170400</f>
        <v>1995600</v>
      </c>
      <c r="D23" s="77"/>
      <c r="E23" s="77">
        <f>1123800-87010</f>
        <v>1036790</v>
      </c>
      <c r="F23" s="77"/>
      <c r="G23" s="77">
        <f>280500-21620</f>
        <v>258880</v>
      </c>
      <c r="H23" s="77"/>
      <c r="I23" s="77">
        <v>189600</v>
      </c>
      <c r="J23" s="77"/>
      <c r="K23" s="77">
        <f>720000-54890</f>
        <v>665110</v>
      </c>
      <c r="L23" s="77"/>
      <c r="M23" s="77"/>
      <c r="N23" s="77"/>
      <c r="O23" s="77"/>
      <c r="P23" s="71"/>
      <c r="Q23" s="77"/>
      <c r="R23" s="71">
        <f>SUM(C23:Q23)</f>
        <v>4145980</v>
      </c>
    </row>
    <row r="24" spans="1:18" ht="14.25">
      <c r="A24" s="91" t="s">
        <v>277</v>
      </c>
      <c r="B24" s="77"/>
      <c r="C24" s="77"/>
      <c r="D24" s="77"/>
      <c r="E24" s="77"/>
      <c r="F24" s="77"/>
      <c r="G24" s="77"/>
      <c r="H24" s="77"/>
      <c r="I24" s="77"/>
      <c r="J24" s="77"/>
      <c r="K24" s="77">
        <f>24000-2000</f>
        <v>22000</v>
      </c>
      <c r="L24" s="77"/>
      <c r="M24" s="77"/>
      <c r="N24" s="77"/>
      <c r="O24" s="77"/>
      <c r="P24" s="71"/>
      <c r="Q24" s="77"/>
      <c r="R24" s="71">
        <f>SUM(C24:P24)</f>
        <v>22000</v>
      </c>
    </row>
    <row r="25" spans="1:18" ht="14.25">
      <c r="A25" s="90" t="s">
        <v>278</v>
      </c>
      <c r="B25" s="78"/>
      <c r="C25" s="78">
        <f>176500-14700</f>
        <v>161800</v>
      </c>
      <c r="D25" s="78"/>
      <c r="E25" s="78">
        <f>42000-3500</f>
        <v>38500</v>
      </c>
      <c r="F25" s="78"/>
      <c r="G25" s="78">
        <f>42000-3500</f>
        <v>38500</v>
      </c>
      <c r="H25" s="78"/>
      <c r="I25" s="78">
        <v>42000</v>
      </c>
      <c r="J25" s="78"/>
      <c r="K25" s="78">
        <f>42000-3500</f>
        <v>38500</v>
      </c>
      <c r="L25" s="78"/>
      <c r="M25" s="78"/>
      <c r="N25" s="78"/>
      <c r="O25" s="78"/>
      <c r="P25" s="68"/>
      <c r="Q25" s="78"/>
      <c r="R25" s="68">
        <f>SUM(C25:P25)</f>
        <v>319300</v>
      </c>
    </row>
    <row r="26" spans="1:18" ht="15" thickBot="1">
      <c r="A26" s="91" t="s">
        <v>36</v>
      </c>
      <c r="B26" s="94"/>
      <c r="C26" s="81">
        <f>SUM(C23:C25)</f>
        <v>2157400</v>
      </c>
      <c r="D26" s="94"/>
      <c r="E26" s="94">
        <f>SUM(E23:E25)</f>
        <v>1075290</v>
      </c>
      <c r="F26" s="94">
        <v>0</v>
      </c>
      <c r="G26" s="94">
        <f>SUM(G23:G25)</f>
        <v>297380</v>
      </c>
      <c r="H26" s="94">
        <v>0</v>
      </c>
      <c r="I26" s="94">
        <f>SUM(I23:I25)</f>
        <v>231600</v>
      </c>
      <c r="J26" s="94">
        <v>0</v>
      </c>
      <c r="K26" s="94">
        <f>SUM(K23:K25)</f>
        <v>725610</v>
      </c>
      <c r="L26" s="94">
        <v>0</v>
      </c>
      <c r="M26" s="94"/>
      <c r="N26" s="94">
        <v>0</v>
      </c>
      <c r="O26" s="94">
        <v>0</v>
      </c>
      <c r="P26" s="94">
        <v>0</v>
      </c>
      <c r="Q26" s="94"/>
      <c r="R26" s="62">
        <f>SUM(C26:P26)</f>
        <v>4487280</v>
      </c>
    </row>
    <row r="27" spans="1:18" ht="15" thickTop="1">
      <c r="A27" s="90" t="s">
        <v>275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279</v>
      </c>
      <c r="B28" s="77"/>
      <c r="C28" s="77">
        <f>170000-12810</f>
        <v>157190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>
        <v>0</v>
      </c>
      <c r="L28" s="77"/>
      <c r="M28" s="77"/>
      <c r="N28" s="77"/>
      <c r="O28" s="77"/>
      <c r="P28" s="71"/>
      <c r="Q28" s="77"/>
      <c r="R28" s="71">
        <f>SUM(C28:P28)</f>
        <v>157190</v>
      </c>
    </row>
    <row r="29" spans="1:18" ht="14.25">
      <c r="A29" s="90" t="s">
        <v>280</v>
      </c>
      <c r="B29" s="79"/>
      <c r="C29" s="78">
        <f>12000-475</f>
        <v>11525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>
        <v>0</v>
      </c>
      <c r="L29" s="78"/>
      <c r="M29" s="78"/>
      <c r="N29" s="78"/>
      <c r="O29" s="78"/>
      <c r="P29" s="68"/>
      <c r="Q29" s="78"/>
      <c r="R29" s="68">
        <f>SUM(C29:P29)</f>
        <v>11525</v>
      </c>
    </row>
    <row r="30" spans="1:18" ht="15" thickBot="1">
      <c r="A30" s="91" t="s">
        <v>36</v>
      </c>
      <c r="B30" s="94"/>
      <c r="C30" s="81">
        <f>SUM(C28:C29)</f>
        <v>168715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/>
      <c r="N30" s="94">
        <v>0</v>
      </c>
      <c r="O30" s="94">
        <v>0</v>
      </c>
      <c r="P30" s="94">
        <v>0</v>
      </c>
      <c r="Q30" s="94"/>
      <c r="R30" s="74">
        <f>SUM(C30:P30)</f>
        <v>168715</v>
      </c>
    </row>
    <row r="31" ht="15" thickTop="1">
      <c r="C31" s="197"/>
    </row>
    <row r="42" spans="1:18" s="65" customFormat="1" ht="14.25">
      <c r="A42" s="66" t="s">
        <v>116</v>
      </c>
      <c r="B42" s="345" t="s">
        <v>93</v>
      </c>
      <c r="C42" s="346" t="s">
        <v>94</v>
      </c>
      <c r="D42" s="346"/>
      <c r="E42" s="346"/>
      <c r="F42" s="88" t="s">
        <v>95</v>
      </c>
      <c r="G42" s="346" t="s">
        <v>96</v>
      </c>
      <c r="H42" s="346"/>
      <c r="I42" s="346" t="s">
        <v>97</v>
      </c>
      <c r="J42" s="346"/>
      <c r="K42" s="346" t="s">
        <v>99</v>
      </c>
      <c r="L42" s="346"/>
      <c r="M42" s="347" t="s">
        <v>400</v>
      </c>
      <c r="N42" s="348"/>
      <c r="O42" s="346" t="s">
        <v>100</v>
      </c>
      <c r="P42" s="346"/>
      <c r="Q42" s="215"/>
      <c r="R42" s="349" t="s">
        <v>19</v>
      </c>
    </row>
    <row r="43" spans="1:18" s="65" customFormat="1" ht="14.25">
      <c r="A43" s="67" t="s">
        <v>117</v>
      </c>
      <c r="B43" s="345"/>
      <c r="C43" s="88" t="s">
        <v>101</v>
      </c>
      <c r="D43" s="88" t="s">
        <v>112</v>
      </c>
      <c r="E43" s="88" t="s">
        <v>102</v>
      </c>
      <c r="F43" s="88" t="s">
        <v>103</v>
      </c>
      <c r="G43" s="88" t="s">
        <v>104</v>
      </c>
      <c r="H43" s="88" t="s">
        <v>105</v>
      </c>
      <c r="I43" s="88" t="s">
        <v>106</v>
      </c>
      <c r="J43" s="88" t="s">
        <v>107</v>
      </c>
      <c r="K43" s="88" t="s">
        <v>108</v>
      </c>
      <c r="L43" s="88" t="s">
        <v>109</v>
      </c>
      <c r="M43" s="88" t="s">
        <v>506</v>
      </c>
      <c r="N43" s="88" t="s">
        <v>399</v>
      </c>
      <c r="O43" s="88" t="s">
        <v>110</v>
      </c>
      <c r="P43" s="88" t="s">
        <v>111</v>
      </c>
      <c r="Q43" s="193" t="s">
        <v>115</v>
      </c>
      <c r="R43" s="350"/>
    </row>
    <row r="44" spans="1:18" ht="14.25">
      <c r="A44" s="93" t="s">
        <v>275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86" t="s">
        <v>281</v>
      </c>
      <c r="B45" s="71"/>
      <c r="C45" s="71">
        <f>376000-29760</f>
        <v>346240</v>
      </c>
      <c r="D45" s="71"/>
      <c r="E45" s="71">
        <f>451000-21150</f>
        <v>429850</v>
      </c>
      <c r="F45" s="71"/>
      <c r="G45" s="71">
        <f>444500-26620</f>
        <v>417880</v>
      </c>
      <c r="H45" s="71">
        <f>51000-51000</f>
        <v>0</v>
      </c>
      <c r="I45" s="71">
        <f>112500-9000</f>
        <v>103500</v>
      </c>
      <c r="J45" s="71"/>
      <c r="K45" s="71">
        <f>240000-19080</f>
        <v>220920</v>
      </c>
      <c r="L45" s="71"/>
      <c r="M45" s="71"/>
      <c r="N45" s="71"/>
      <c r="O45" s="71"/>
      <c r="P45" s="71"/>
      <c r="Q45" s="71"/>
      <c r="R45" s="71">
        <f>SUM(C45:Q45)</f>
        <v>1518390</v>
      </c>
    </row>
    <row r="46" spans="1:18" ht="14.25">
      <c r="A46" s="90" t="s">
        <v>282</v>
      </c>
      <c r="B46" s="68"/>
      <c r="C46" s="68">
        <f>60000-4925</f>
        <v>55075</v>
      </c>
      <c r="D46" s="68"/>
      <c r="E46" s="68">
        <f>36000-2135</f>
        <v>33865</v>
      </c>
      <c r="F46" s="68"/>
      <c r="G46" s="68">
        <f>24000-1000</f>
        <v>23000</v>
      </c>
      <c r="H46" s="68"/>
      <c r="I46" s="68">
        <f>12000-1000</f>
        <v>11000</v>
      </c>
      <c r="J46" s="68"/>
      <c r="K46" s="68">
        <f>36000-3000</f>
        <v>33000</v>
      </c>
      <c r="L46" s="68"/>
      <c r="M46" s="68"/>
      <c r="N46" s="68"/>
      <c r="O46" s="68"/>
      <c r="P46" s="68"/>
      <c r="Q46" s="68"/>
      <c r="R46" s="68">
        <f>SUM(C46:Q46)</f>
        <v>155940</v>
      </c>
    </row>
    <row r="47" spans="1:18" ht="15" thickBot="1">
      <c r="A47" s="91" t="s">
        <v>36</v>
      </c>
      <c r="B47" s="62"/>
      <c r="C47" s="73">
        <f>SUM(C45:C46)</f>
        <v>401315</v>
      </c>
      <c r="D47" s="62">
        <f>SUM(D45:D46)</f>
        <v>0</v>
      </c>
      <c r="E47" s="62">
        <f>SUM(E44:E46)</f>
        <v>463715</v>
      </c>
      <c r="F47" s="62">
        <v>0</v>
      </c>
      <c r="G47" s="62">
        <f>SUM(G45:G46)</f>
        <v>440880</v>
      </c>
      <c r="H47" s="62">
        <f>SUM(H45)</f>
        <v>0</v>
      </c>
      <c r="I47" s="62">
        <f>SUM(I45:I46)</f>
        <v>114500</v>
      </c>
      <c r="J47" s="62">
        <v>0</v>
      </c>
      <c r="K47" s="62">
        <f>SUM(K45:K46)</f>
        <v>253920</v>
      </c>
      <c r="L47" s="62">
        <v>0</v>
      </c>
      <c r="M47" s="62"/>
      <c r="N47" s="62">
        <v>0</v>
      </c>
      <c r="O47" s="62">
        <v>0</v>
      </c>
      <c r="P47" s="62">
        <v>0</v>
      </c>
      <c r="Q47" s="62"/>
      <c r="R47" s="202">
        <f>SUM(C47:P47)</f>
        <v>1674330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284</v>
      </c>
      <c r="B49" s="77"/>
      <c r="C49" s="77">
        <v>220000</v>
      </c>
      <c r="D49" s="77"/>
      <c r="E49" s="77">
        <v>120000</v>
      </c>
      <c r="F49" s="77"/>
      <c r="G49" s="77">
        <v>80000</v>
      </c>
      <c r="H49" s="77"/>
      <c r="I49" s="77">
        <v>10000</v>
      </c>
      <c r="J49" s="77"/>
      <c r="K49" s="77">
        <v>129000</v>
      </c>
      <c r="L49" s="77">
        <v>0</v>
      </c>
      <c r="M49" s="77"/>
      <c r="N49" s="77"/>
      <c r="O49" s="77"/>
      <c r="P49" s="71"/>
      <c r="Q49" s="77"/>
      <c r="R49" s="71">
        <f>SUM(C49:P49)</f>
        <v>559000</v>
      </c>
    </row>
    <row r="50" spans="1:18" ht="14.25">
      <c r="A50" s="90" t="s">
        <v>285</v>
      </c>
      <c r="B50" s="78"/>
      <c r="C50" s="78">
        <v>10000</v>
      </c>
      <c r="D50" s="78"/>
      <c r="E50" s="78">
        <f>10000-9660</f>
        <v>340</v>
      </c>
      <c r="F50" s="78"/>
      <c r="G50" s="78">
        <v>5000</v>
      </c>
      <c r="H50" s="78"/>
      <c r="I50" s="78">
        <f>3000-3000</f>
        <v>0</v>
      </c>
      <c r="J50" s="78"/>
      <c r="K50" s="78">
        <v>5000</v>
      </c>
      <c r="L50" s="78"/>
      <c r="M50" s="78"/>
      <c r="N50" s="78"/>
      <c r="O50" s="78"/>
      <c r="P50" s="68"/>
      <c r="Q50" s="78"/>
      <c r="R50" s="68">
        <f>SUM(C50:P50)</f>
        <v>20340</v>
      </c>
    </row>
    <row r="51" spans="1:18" ht="14.25">
      <c r="A51" s="91" t="s">
        <v>286</v>
      </c>
      <c r="B51" s="77"/>
      <c r="C51" s="77">
        <f>170000-10000</f>
        <v>160000</v>
      </c>
      <c r="D51" s="77"/>
      <c r="E51" s="77">
        <f>60000-3000</f>
        <v>57000</v>
      </c>
      <c r="F51" s="77"/>
      <c r="G51" s="77">
        <f>36000-3000</f>
        <v>33000</v>
      </c>
      <c r="H51" s="77"/>
      <c r="I51" s="77"/>
      <c r="J51" s="77"/>
      <c r="K51" s="77">
        <f>84000-7500</f>
        <v>76500</v>
      </c>
      <c r="L51" s="77"/>
      <c r="M51" s="77"/>
      <c r="N51" s="77"/>
      <c r="O51" s="77"/>
      <c r="P51" s="71"/>
      <c r="Q51" s="77"/>
      <c r="R51" s="71">
        <f>SUM(C51:P51)</f>
        <v>326500</v>
      </c>
    </row>
    <row r="52" spans="1:18" ht="14.25">
      <c r="A52" s="91" t="s">
        <v>287</v>
      </c>
      <c r="B52" s="77"/>
      <c r="C52" s="77">
        <v>65000</v>
      </c>
      <c r="D52" s="77"/>
      <c r="E52" s="77">
        <v>10000</v>
      </c>
      <c r="F52" s="77">
        <v>0</v>
      </c>
      <c r="G52" s="77">
        <v>0</v>
      </c>
      <c r="H52" s="77"/>
      <c r="I52" s="77"/>
      <c r="J52" s="77"/>
      <c r="K52" s="77"/>
      <c r="L52" s="77"/>
      <c r="M52" s="77"/>
      <c r="N52" s="187"/>
      <c r="O52" s="187"/>
      <c r="P52" s="71"/>
      <c r="Q52" s="77"/>
      <c r="R52" s="71">
        <f>SUM(C52:P52)</f>
        <v>75000</v>
      </c>
    </row>
    <row r="53" spans="1:18" ht="15" thickBot="1">
      <c r="A53" s="91" t="s">
        <v>36</v>
      </c>
      <c r="B53" s="94"/>
      <c r="C53" s="81">
        <f>SUM(C49:C52)</f>
        <v>455000</v>
      </c>
      <c r="D53" s="94">
        <v>0</v>
      </c>
      <c r="E53" s="94">
        <f>SUM(E49:E52)</f>
        <v>187340</v>
      </c>
      <c r="F53" s="94">
        <v>0</v>
      </c>
      <c r="G53" s="94">
        <f>SUM(G49:G52)</f>
        <v>118000</v>
      </c>
      <c r="H53" s="94">
        <v>0</v>
      </c>
      <c r="I53" s="94">
        <f>SUM(I49:I52)</f>
        <v>10000</v>
      </c>
      <c r="J53" s="94"/>
      <c r="K53" s="94">
        <f>SUM(K49:K52)</f>
        <v>210500</v>
      </c>
      <c r="L53" s="94">
        <f>SUM(L49:L52)</f>
        <v>0</v>
      </c>
      <c r="M53" s="94"/>
      <c r="N53" s="196">
        <v>0</v>
      </c>
      <c r="O53" s="196">
        <v>0</v>
      </c>
      <c r="P53" s="94">
        <v>0</v>
      </c>
      <c r="Q53" s="94"/>
      <c r="R53" s="73">
        <f>SUM(C53:P53)</f>
        <v>980840</v>
      </c>
    </row>
    <row r="54" spans="1:18" ht="15" thickTop="1">
      <c r="A54" s="95" t="s">
        <v>289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O54" s="84"/>
      <c r="P54" s="84"/>
      <c r="Q54" s="84"/>
      <c r="R54" s="85"/>
    </row>
    <row r="55" spans="1:18" ht="14.25">
      <c r="A55" s="95" t="s">
        <v>290</v>
      </c>
      <c r="B55" s="83"/>
      <c r="C55" s="83">
        <f>380000-12952</f>
        <v>367048</v>
      </c>
      <c r="D55" s="83"/>
      <c r="E55" s="83">
        <v>50000</v>
      </c>
      <c r="F55" s="83"/>
      <c r="G55" s="83">
        <v>45000</v>
      </c>
      <c r="H55" s="83"/>
      <c r="I55" s="83"/>
      <c r="J55" s="83"/>
      <c r="K55" s="83">
        <v>80000</v>
      </c>
      <c r="L55" s="83">
        <f>300000-300000</f>
        <v>0</v>
      </c>
      <c r="M55" s="83"/>
      <c r="N55" s="83"/>
      <c r="O55" s="83"/>
      <c r="P55" s="84"/>
      <c r="Q55" s="83"/>
      <c r="R55" s="84">
        <f>SUM(C55:P55)</f>
        <v>542048</v>
      </c>
    </row>
    <row r="56" spans="1:18" ht="14.25">
      <c r="A56" s="91" t="s">
        <v>291</v>
      </c>
      <c r="B56" s="77"/>
      <c r="C56" s="77">
        <v>58000</v>
      </c>
      <c r="D56" s="77"/>
      <c r="E56" s="77"/>
      <c r="F56" s="77"/>
      <c r="G56" s="77">
        <v>5000</v>
      </c>
      <c r="H56" s="77"/>
      <c r="I56" s="77"/>
      <c r="J56" s="77"/>
      <c r="K56" s="77"/>
      <c r="L56" s="77"/>
      <c r="M56" s="77"/>
      <c r="N56" s="77"/>
      <c r="O56" s="77"/>
      <c r="P56" s="71"/>
      <c r="Q56" s="77"/>
      <c r="R56" s="71">
        <f>SUM(C56:Q56)</f>
        <v>63000</v>
      </c>
    </row>
    <row r="57" spans="1:18" ht="14.25">
      <c r="A57" s="95" t="s">
        <v>292</v>
      </c>
      <c r="B57" s="77"/>
      <c r="C57" s="77">
        <v>757000</v>
      </c>
      <c r="D57" s="77">
        <v>20000</v>
      </c>
      <c r="E57" s="77">
        <v>30000</v>
      </c>
      <c r="F57" s="77">
        <v>240000</v>
      </c>
      <c r="G57" s="77">
        <v>50000</v>
      </c>
      <c r="H57" s="77">
        <v>582600</v>
      </c>
      <c r="I57" s="77"/>
      <c r="J57" s="77">
        <v>440000</v>
      </c>
      <c r="K57" s="77">
        <v>40000</v>
      </c>
      <c r="L57" s="77"/>
      <c r="M57" s="77"/>
      <c r="N57" s="77">
        <v>80000</v>
      </c>
      <c r="O57" s="77">
        <v>150000</v>
      </c>
      <c r="P57" s="71">
        <f>210000-5952</f>
        <v>204048</v>
      </c>
      <c r="Q57" s="77"/>
      <c r="R57" s="71">
        <f>SUM(C57:P57)</f>
        <v>2593648</v>
      </c>
    </row>
    <row r="58" spans="1:18" ht="14.25">
      <c r="A58" s="95" t="s">
        <v>293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5" thickBot="1">
      <c r="A59" s="91" t="s">
        <v>36</v>
      </c>
      <c r="B59" s="94"/>
      <c r="C59" s="81">
        <f>SUM(C55:C58)</f>
        <v>1182048</v>
      </c>
      <c r="D59" s="94">
        <f>SUM(D57:D58)</f>
        <v>20000</v>
      </c>
      <c r="E59" s="94">
        <f>SUM(E55:E58)</f>
        <v>80000</v>
      </c>
      <c r="F59" s="94">
        <f>SUM(F57)</f>
        <v>240000</v>
      </c>
      <c r="G59" s="94">
        <f>SUM(G55:G58)</f>
        <v>100000</v>
      </c>
      <c r="H59" s="94">
        <f>SUM(H55:H58)</f>
        <v>582600</v>
      </c>
      <c r="I59" s="94">
        <f>SUM(I55:I58)</f>
        <v>0</v>
      </c>
      <c r="J59" s="94">
        <f>SUM(J57)</f>
        <v>440000</v>
      </c>
      <c r="K59" s="94">
        <f>SUM(K55:K58)</f>
        <v>120000</v>
      </c>
      <c r="L59" s="94">
        <f>SUM(L55:L58)</f>
        <v>0</v>
      </c>
      <c r="M59" s="94"/>
      <c r="N59" s="94">
        <f>SUM(N57)</f>
        <v>80000</v>
      </c>
      <c r="O59" s="94">
        <f>SUM(O57)</f>
        <v>150000</v>
      </c>
      <c r="P59" s="94">
        <f>SUM(P55:P58)</f>
        <v>204048</v>
      </c>
      <c r="Q59" s="94"/>
      <c r="R59" s="74">
        <f>SUM(C59:P59)</f>
        <v>3198696</v>
      </c>
    </row>
    <row r="60" spans="1:18" ht="15" thickTop="1">
      <c r="A60" s="95" t="s">
        <v>294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  <c r="O60" s="84"/>
      <c r="P60" s="84"/>
      <c r="Q60" s="84"/>
      <c r="R60" s="84"/>
    </row>
    <row r="61" spans="1:18" ht="14.25">
      <c r="A61" s="95" t="s">
        <v>295</v>
      </c>
      <c r="B61" s="83"/>
      <c r="C61" s="83"/>
      <c r="D61" s="83"/>
      <c r="E61" s="83">
        <v>100000</v>
      </c>
      <c r="F61" s="83"/>
      <c r="G61" s="83">
        <v>20000</v>
      </c>
      <c r="H61" s="83"/>
      <c r="I61" s="83"/>
      <c r="J61" s="83"/>
      <c r="K61" s="83"/>
      <c r="L61" s="83"/>
      <c r="M61" s="83"/>
      <c r="N61" s="83"/>
      <c r="O61" s="83"/>
      <c r="P61" s="84"/>
      <c r="Q61" s="83"/>
      <c r="R61" s="84">
        <f>SUM(C61:P61)</f>
        <v>120000</v>
      </c>
    </row>
    <row r="62" spans="1:18" ht="14.25">
      <c r="A62" s="91" t="s">
        <v>296</v>
      </c>
      <c r="B62" s="77"/>
      <c r="C62" s="77"/>
      <c r="D62" s="77"/>
      <c r="E62" s="77"/>
      <c r="F62" s="77"/>
      <c r="G62" s="77"/>
      <c r="H62" s="77"/>
      <c r="I62" s="77"/>
      <c r="J62" s="77"/>
      <c r="K62" s="77">
        <v>60000</v>
      </c>
      <c r="L62" s="77"/>
      <c r="M62" s="77"/>
      <c r="N62" s="77"/>
      <c r="O62" s="77"/>
      <c r="P62" s="71"/>
      <c r="Q62" s="77"/>
      <c r="R62" s="71">
        <f>SUM(C62:Q62)</f>
        <v>60000</v>
      </c>
    </row>
    <row r="63" spans="1:18" ht="14.25">
      <c r="A63" s="95" t="s">
        <v>297</v>
      </c>
      <c r="B63" s="77"/>
      <c r="C63" s="77"/>
      <c r="D63" s="77"/>
      <c r="E63" s="77">
        <v>20000</v>
      </c>
      <c r="F63" s="77"/>
      <c r="G63" s="77">
        <v>20000</v>
      </c>
      <c r="H63" s="77">
        <v>0</v>
      </c>
      <c r="I63" s="77"/>
      <c r="J63" s="77"/>
      <c r="K63" s="77"/>
      <c r="L63" s="77"/>
      <c r="M63" s="77"/>
      <c r="N63" s="77"/>
      <c r="O63" s="77"/>
      <c r="P63" s="71"/>
      <c r="Q63" s="77"/>
      <c r="R63" s="71">
        <f>SUM(C63:P63)</f>
        <v>40000</v>
      </c>
    </row>
    <row r="64" spans="1:18" ht="14.25">
      <c r="A64" s="95" t="s">
        <v>298</v>
      </c>
      <c r="B64" s="77"/>
      <c r="C64" s="77"/>
      <c r="D64" s="77"/>
      <c r="E64" s="77"/>
      <c r="F64" s="77"/>
      <c r="G64" s="77">
        <v>0</v>
      </c>
      <c r="H64" s="77">
        <v>1084570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 aca="true" t="shared" si="1" ref="R64:R70">SUM(B64:Q64)</f>
        <v>1084570</v>
      </c>
    </row>
    <row r="65" spans="1:18" ht="14.25">
      <c r="A65" s="95" t="s">
        <v>299</v>
      </c>
      <c r="B65" s="77"/>
      <c r="C65" s="77"/>
      <c r="D65" s="77"/>
      <c r="E65" s="77"/>
      <c r="F65" s="77"/>
      <c r="G65" s="77"/>
      <c r="H65" s="77">
        <v>0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t="shared" si="1"/>
        <v>0</v>
      </c>
    </row>
    <row r="66" spans="1:18" ht="14.25">
      <c r="A66" s="95" t="s">
        <v>300</v>
      </c>
      <c r="B66" s="77"/>
      <c r="C66" s="77"/>
      <c r="D66" s="77"/>
      <c r="E66" s="77"/>
      <c r="F66" s="77"/>
      <c r="G66" s="77"/>
      <c r="H66" s="77"/>
      <c r="I66" s="77"/>
      <c r="J66" s="77"/>
      <c r="K66" s="77">
        <v>20000</v>
      </c>
      <c r="L66" s="77"/>
      <c r="M66" s="77"/>
      <c r="N66" s="77"/>
      <c r="O66" s="77"/>
      <c r="P66" s="71"/>
      <c r="Q66" s="77"/>
      <c r="R66" s="71">
        <f t="shared" si="1"/>
        <v>20000</v>
      </c>
    </row>
    <row r="67" spans="1:18" ht="14.25">
      <c r="A67" s="95" t="s">
        <v>301</v>
      </c>
      <c r="B67" s="77"/>
      <c r="C67" s="77">
        <v>30000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1"/>
      <c r="Q67" s="77"/>
      <c r="R67" s="71">
        <f t="shared" si="1"/>
        <v>30000</v>
      </c>
    </row>
    <row r="68" spans="1:18" ht="14.25">
      <c r="A68" s="95" t="s">
        <v>302</v>
      </c>
      <c r="B68" s="77"/>
      <c r="C68" s="77">
        <v>200000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200000</v>
      </c>
    </row>
    <row r="69" spans="1:18" ht="14.25">
      <c r="A69" s="95" t="s">
        <v>333</v>
      </c>
      <c r="B69" s="77"/>
      <c r="C69" s="77"/>
      <c r="D69" s="77"/>
      <c r="E69" s="77"/>
      <c r="F69" s="77"/>
      <c r="G69" s="77"/>
      <c r="H69" s="77">
        <v>0</v>
      </c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0</v>
      </c>
    </row>
    <row r="70" spans="1:18" ht="14.25">
      <c r="A70" s="95" t="s">
        <v>303</v>
      </c>
      <c r="B70" s="77"/>
      <c r="C70" s="77">
        <f>5000-3946</f>
        <v>1054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 t="shared" si="1"/>
        <v>1054</v>
      </c>
    </row>
    <row r="71" spans="1:18" ht="14.25">
      <c r="A71" s="95" t="s">
        <v>334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>
        <v>0</v>
      </c>
      <c r="O71" s="77">
        <v>0</v>
      </c>
      <c r="P71" s="71"/>
      <c r="Q71" s="77"/>
      <c r="R71" s="71">
        <v>0</v>
      </c>
    </row>
    <row r="72" spans="1:18" ht="14.25">
      <c r="A72" s="95" t="s">
        <v>304</v>
      </c>
      <c r="B72" s="77"/>
      <c r="C72" s="77">
        <f>70000-13600</f>
        <v>56400</v>
      </c>
      <c r="D72" s="77"/>
      <c r="E72" s="77">
        <v>100000</v>
      </c>
      <c r="F72" s="77"/>
      <c r="G72" s="77">
        <v>25000</v>
      </c>
      <c r="H72" s="77"/>
      <c r="I72" s="77"/>
      <c r="J72" s="77"/>
      <c r="K72" s="77">
        <f>30000-7850</f>
        <v>22150</v>
      </c>
      <c r="L72" s="77"/>
      <c r="M72" s="77"/>
      <c r="N72" s="77"/>
      <c r="O72" s="77"/>
      <c r="P72" s="71"/>
      <c r="Q72" s="77"/>
      <c r="R72" s="71">
        <f>SUM(B72:Q72)</f>
        <v>203550</v>
      </c>
    </row>
    <row r="73" spans="1:18" ht="14.25">
      <c r="A73" s="95" t="s">
        <v>305</v>
      </c>
      <c r="B73" s="77"/>
      <c r="C73" s="77"/>
      <c r="D73" s="77"/>
      <c r="E73" s="77"/>
      <c r="F73" s="77"/>
      <c r="G73" s="77"/>
      <c r="H73" s="77">
        <v>30000</v>
      </c>
      <c r="I73" s="77"/>
      <c r="J73" s="77"/>
      <c r="K73" s="77"/>
      <c r="L73" s="77"/>
      <c r="M73" s="77"/>
      <c r="N73" s="77"/>
      <c r="O73" s="77"/>
      <c r="P73" s="71"/>
      <c r="Q73" s="77"/>
      <c r="R73" s="71">
        <f>SUM(B73:Q73)</f>
        <v>30000</v>
      </c>
    </row>
    <row r="74" spans="1:20" ht="14.25">
      <c r="A74" s="95" t="s">
        <v>306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0</v>
      </c>
      <c r="T74" s="287"/>
    </row>
    <row r="75" spans="1:23" ht="15" thickBot="1">
      <c r="A75" s="91" t="s">
        <v>36</v>
      </c>
      <c r="B75" s="94"/>
      <c r="C75" s="81">
        <f>SUM(C61:C74)</f>
        <v>287454</v>
      </c>
      <c r="D75" s="94">
        <v>0</v>
      </c>
      <c r="E75" s="94">
        <f>SUM(E61:E74)</f>
        <v>220000</v>
      </c>
      <c r="F75" s="94">
        <v>0</v>
      </c>
      <c r="G75" s="94">
        <f>SUM(G61:G74)</f>
        <v>65000</v>
      </c>
      <c r="H75" s="94">
        <f>SUM(H61:H74)</f>
        <v>1114570</v>
      </c>
      <c r="I75" s="94">
        <f>SUM(I61:I74)</f>
        <v>0</v>
      </c>
      <c r="J75" s="94">
        <v>0</v>
      </c>
      <c r="K75" s="94">
        <f>SUM(K62:K74)</f>
        <v>102150</v>
      </c>
      <c r="L75" s="94">
        <f>SUM(L62)</f>
        <v>0</v>
      </c>
      <c r="M75" s="94"/>
      <c r="N75" s="94">
        <f>SUM(N61:N74)</f>
        <v>0</v>
      </c>
      <c r="O75" s="94">
        <f>SUM(O61:O74)</f>
        <v>0</v>
      </c>
      <c r="P75" s="94">
        <v>0</v>
      </c>
      <c r="Q75" s="94"/>
      <c r="R75" s="74">
        <f>SUM(R61:R74)</f>
        <v>1789174</v>
      </c>
      <c r="W75" s="287"/>
    </row>
    <row r="76" spans="1:18" ht="15" thickTop="1">
      <c r="A76" s="198"/>
      <c r="B76" s="199"/>
      <c r="C76" s="197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7"/>
    </row>
    <row r="77" spans="1:18" ht="14.25">
      <c r="A77" s="198"/>
      <c r="B77" s="199"/>
      <c r="C77" s="197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7"/>
    </row>
    <row r="78" spans="1:18" ht="14.25">
      <c r="A78" s="198"/>
      <c r="B78" s="199"/>
      <c r="C78" s="197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7"/>
    </row>
    <row r="81" spans="1:18" s="65" customFormat="1" ht="13.5" customHeight="1">
      <c r="A81" s="66" t="s">
        <v>116</v>
      </c>
      <c r="B81" s="345" t="s">
        <v>93</v>
      </c>
      <c r="C81" s="346" t="s">
        <v>94</v>
      </c>
      <c r="D81" s="346"/>
      <c r="E81" s="346"/>
      <c r="F81" s="88" t="s">
        <v>95</v>
      </c>
      <c r="G81" s="346" t="s">
        <v>96</v>
      </c>
      <c r="H81" s="346"/>
      <c r="I81" s="346" t="s">
        <v>97</v>
      </c>
      <c r="J81" s="346"/>
      <c r="K81" s="346" t="s">
        <v>99</v>
      </c>
      <c r="L81" s="346"/>
      <c r="M81" s="347" t="s">
        <v>400</v>
      </c>
      <c r="N81" s="348"/>
      <c r="O81" s="346" t="s">
        <v>100</v>
      </c>
      <c r="P81" s="346"/>
      <c r="Q81" s="215"/>
      <c r="R81" s="349" t="s">
        <v>19</v>
      </c>
    </row>
    <row r="82" spans="1:18" s="65" customFormat="1" ht="13.5" customHeight="1">
      <c r="A82" s="67" t="s">
        <v>117</v>
      </c>
      <c r="B82" s="345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506</v>
      </c>
      <c r="N82" s="88" t="s">
        <v>399</v>
      </c>
      <c r="O82" s="88" t="s">
        <v>110</v>
      </c>
      <c r="P82" s="88" t="s">
        <v>111</v>
      </c>
      <c r="Q82" s="193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f>150000-12023.06</f>
        <v>137976.94</v>
      </c>
      <c r="D84" s="68"/>
      <c r="E84" s="68"/>
      <c r="F84" s="68"/>
      <c r="G84" s="68">
        <f>50000-1832</f>
        <v>48168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186144.94</v>
      </c>
    </row>
    <row r="85" spans="1:18" ht="13.5" customHeight="1">
      <c r="A85" s="91" t="s">
        <v>309</v>
      </c>
      <c r="B85" s="71"/>
      <c r="C85" s="71">
        <v>6000</v>
      </c>
      <c r="D85" s="71"/>
      <c r="E85" s="71"/>
      <c r="F85" s="71"/>
      <c r="G85" s="71">
        <v>5000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11000</v>
      </c>
    </row>
    <row r="86" spans="1:18" ht="13.5" customHeight="1">
      <c r="A86" s="91" t="s">
        <v>310</v>
      </c>
      <c r="B86" s="71"/>
      <c r="C86" s="71">
        <f>20000-1001.52</f>
        <v>18998.48</v>
      </c>
      <c r="D86" s="71"/>
      <c r="E86" s="71"/>
      <c r="F86" s="71"/>
      <c r="G86" s="71">
        <f>10000-428</f>
        <v>9572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28570.48</v>
      </c>
    </row>
    <row r="87" spans="1:18" ht="13.5" customHeight="1">
      <c r="A87" s="90" t="s">
        <v>311</v>
      </c>
      <c r="B87" s="71"/>
      <c r="C87" s="71">
        <v>20000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SUM(C87:Q87)</f>
        <v>20000</v>
      </c>
    </row>
    <row r="88" spans="1:18" ht="13.5" customHeight="1">
      <c r="A88" s="91" t="s">
        <v>312</v>
      </c>
      <c r="B88" s="72"/>
      <c r="C88" s="72">
        <f>90000-5339.3</f>
        <v>84660.7</v>
      </c>
      <c r="D88" s="72"/>
      <c r="E88" s="72"/>
      <c r="F88" s="72"/>
      <c r="G88" s="72">
        <f>25000-1701.3</f>
        <v>23298.7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107959.4</v>
      </c>
    </row>
    <row r="89" spans="1:18" ht="13.5" customHeight="1" thickBot="1">
      <c r="A89" s="91" t="s">
        <v>36</v>
      </c>
      <c r="B89" s="62"/>
      <c r="C89" s="62">
        <f>SUM(C84:C88)</f>
        <v>267636.12</v>
      </c>
      <c r="D89" s="62">
        <v>0</v>
      </c>
      <c r="E89" s="62">
        <v>0</v>
      </c>
      <c r="F89" s="62">
        <v>0</v>
      </c>
      <c r="G89" s="62">
        <f>SUM(G84:G88)</f>
        <v>86038.7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>
        <v>0</v>
      </c>
      <c r="O89" s="62">
        <v>0</v>
      </c>
      <c r="P89" s="62">
        <v>0</v>
      </c>
      <c r="Q89" s="62"/>
      <c r="R89" s="73">
        <f>SUM(C89:P89)</f>
        <v>353674.82</v>
      </c>
    </row>
    <row r="90" spans="1:18" ht="13.5" customHeight="1" thickTop="1">
      <c r="A90" s="93" t="s">
        <v>313</v>
      </c>
      <c r="B90" s="75"/>
      <c r="C90" s="75"/>
      <c r="D90" s="75"/>
      <c r="E90" s="75"/>
      <c r="F90" s="75"/>
      <c r="G90" s="75"/>
      <c r="H90" s="75"/>
      <c r="I90" s="75"/>
      <c r="J90" s="85"/>
      <c r="K90" s="75"/>
      <c r="L90" s="75"/>
      <c r="M90" s="75"/>
      <c r="N90" s="75"/>
      <c r="O90" s="75"/>
      <c r="P90" s="76"/>
      <c r="Q90" s="75"/>
      <c r="R90" s="76"/>
    </row>
    <row r="91" spans="1:18" ht="13.5" customHeight="1">
      <c r="A91" s="91" t="s">
        <v>314</v>
      </c>
      <c r="B91" s="77"/>
      <c r="C91" s="77">
        <v>105600</v>
      </c>
      <c r="D91" s="77"/>
      <c r="E91" s="77"/>
      <c r="F91" s="77"/>
      <c r="G91" s="77">
        <f>20000-20000</f>
        <v>0</v>
      </c>
      <c r="H91" s="77"/>
      <c r="I91" s="77"/>
      <c r="J91" s="83"/>
      <c r="K91" s="77"/>
      <c r="L91" s="77"/>
      <c r="M91" s="77"/>
      <c r="N91" s="77"/>
      <c r="O91" s="77"/>
      <c r="P91" s="71"/>
      <c r="Q91" s="77"/>
      <c r="R91" s="71">
        <f aca="true" t="shared" si="2" ref="R91:R99">SUM(C91:Q91)</f>
        <v>105600</v>
      </c>
    </row>
    <row r="92" spans="1:18" ht="13.5" customHeight="1">
      <c r="A92" s="91" t="s">
        <v>527</v>
      </c>
      <c r="B92" s="77"/>
      <c r="C92" s="77">
        <v>787000</v>
      </c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SUM(C92:Q92)</f>
        <v>787000</v>
      </c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1"/>
      <c r="Q93" s="77"/>
      <c r="R93" s="71">
        <f t="shared" si="2"/>
        <v>0</v>
      </c>
    </row>
    <row r="94" spans="1:18" ht="13.5" customHeight="1">
      <c r="A94" s="189" t="s">
        <v>316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>
        <f t="shared" si="2"/>
        <v>0</v>
      </c>
    </row>
    <row r="95" spans="1:18" ht="13.5" customHeight="1">
      <c r="A95" s="186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>
        <f t="shared" si="2"/>
        <v>0</v>
      </c>
    </row>
    <row r="96" spans="1:18" ht="13.5" customHeight="1">
      <c r="A96" s="189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>
        <f t="shared" si="2"/>
        <v>0</v>
      </c>
    </row>
    <row r="97" spans="1:18" ht="13.5" customHeight="1">
      <c r="A97" s="190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>
        <f t="shared" si="2"/>
        <v>0</v>
      </c>
    </row>
    <row r="98" spans="1:18" ht="13.5" customHeight="1">
      <c r="A98" s="189" t="s">
        <v>320</v>
      </c>
      <c r="B98" s="77"/>
      <c r="C98" s="77"/>
      <c r="D98" s="77"/>
      <c r="E98" s="77"/>
      <c r="F98" s="77"/>
      <c r="G98" s="77">
        <v>0</v>
      </c>
      <c r="H98" s="77">
        <v>36000</v>
      </c>
      <c r="I98" s="77"/>
      <c r="J98" s="77"/>
      <c r="K98" s="77"/>
      <c r="L98" s="77"/>
      <c r="M98" s="77"/>
      <c r="N98" s="77"/>
      <c r="O98" s="77"/>
      <c r="P98" s="71"/>
      <c r="Q98" s="77"/>
      <c r="R98" s="71">
        <f t="shared" si="2"/>
        <v>36000</v>
      </c>
    </row>
    <row r="99" spans="1:18" ht="13.5" customHeight="1">
      <c r="A99" s="90" t="s">
        <v>321</v>
      </c>
      <c r="B99" s="78"/>
      <c r="C99" s="78">
        <v>100000</v>
      </c>
      <c r="D99" s="78"/>
      <c r="E99" s="78">
        <f>30000-550</f>
        <v>29450</v>
      </c>
      <c r="F99" s="78"/>
      <c r="G99" s="78">
        <v>80000</v>
      </c>
      <c r="H99" s="152"/>
      <c r="I99" s="78"/>
      <c r="J99" s="78"/>
      <c r="K99" s="78">
        <f>20000-1500</f>
        <v>18500</v>
      </c>
      <c r="L99" s="78"/>
      <c r="M99" s="78"/>
      <c r="N99" s="78"/>
      <c r="O99" s="78"/>
      <c r="P99" s="68"/>
      <c r="Q99" s="78"/>
      <c r="R99" s="200">
        <f t="shared" si="2"/>
        <v>227950</v>
      </c>
    </row>
    <row r="100" spans="1:18" ht="13.5" customHeight="1" thickBot="1">
      <c r="A100" s="91" t="s">
        <v>36</v>
      </c>
      <c r="B100" s="94"/>
      <c r="C100" s="94">
        <f>SUM(C91:C99)</f>
        <v>992600</v>
      </c>
      <c r="D100" s="94">
        <v>0</v>
      </c>
      <c r="E100" s="94">
        <f>SUM(E99)</f>
        <v>29450</v>
      </c>
      <c r="F100" s="94">
        <v>0</v>
      </c>
      <c r="G100" s="94">
        <f>SUM(G91:G99)</f>
        <v>80000</v>
      </c>
      <c r="H100" s="94">
        <f>SUM(H91:H99)</f>
        <v>36000</v>
      </c>
      <c r="I100" s="94">
        <f>SUM(I99)</f>
        <v>0</v>
      </c>
      <c r="J100" s="94"/>
      <c r="K100" s="94">
        <f>SUM(K91:K99)</f>
        <v>18500</v>
      </c>
      <c r="L100" s="94">
        <v>0</v>
      </c>
      <c r="M100" s="94"/>
      <c r="N100" s="94">
        <v>0</v>
      </c>
      <c r="O100" s="94">
        <v>0</v>
      </c>
      <c r="P100" s="94">
        <v>0</v>
      </c>
      <c r="Q100" s="94"/>
      <c r="R100" s="201">
        <f>SUM(R91:R99)</f>
        <v>1156550</v>
      </c>
    </row>
    <row r="101" spans="1:18" ht="13.5" customHeight="1" thickTop="1">
      <c r="A101" s="95" t="s">
        <v>322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323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324</v>
      </c>
      <c r="B103" s="83"/>
      <c r="C103" s="83">
        <v>166000</v>
      </c>
      <c r="D103" s="83"/>
      <c r="E103" s="71"/>
      <c r="F103" s="83"/>
      <c r="G103" s="83"/>
      <c r="H103" s="83">
        <v>172000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SUM(C103:H103)</f>
        <v>338000</v>
      </c>
    </row>
    <row r="104" spans="1:18" ht="13.5" customHeight="1">
      <c r="A104" s="95" t="s">
        <v>325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v>2590000</v>
      </c>
      <c r="R104" s="84">
        <f>SUM(Q104)</f>
        <v>2590000</v>
      </c>
    </row>
    <row r="105" spans="1:18" ht="13.5" customHeight="1">
      <c r="A105" s="91" t="s">
        <v>397</v>
      </c>
      <c r="B105" s="77"/>
      <c r="C105" s="77"/>
      <c r="D105" s="77"/>
      <c r="E105" s="185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0</v>
      </c>
    </row>
    <row r="106" spans="1:18" ht="13.5" customHeight="1" thickBot="1">
      <c r="A106" s="91" t="s">
        <v>36</v>
      </c>
      <c r="B106" s="94"/>
      <c r="C106" s="94">
        <f>SUM(C103:C105)</f>
        <v>166000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172000</v>
      </c>
      <c r="I106" s="94">
        <v>0</v>
      </c>
      <c r="J106" s="94">
        <v>0</v>
      </c>
      <c r="K106" s="94">
        <v>0</v>
      </c>
      <c r="L106" s="94">
        <v>0</v>
      </c>
      <c r="M106" s="94"/>
      <c r="N106" s="94">
        <v>0</v>
      </c>
      <c r="O106" s="94">
        <v>0</v>
      </c>
      <c r="P106" s="94">
        <v>0</v>
      </c>
      <c r="Q106" s="94">
        <f>SUM(Q102:Q105)</f>
        <v>2590000</v>
      </c>
      <c r="R106" s="201">
        <f>SUM(R102:R105)</f>
        <v>2928000</v>
      </c>
    </row>
    <row r="107" spans="1:18" ht="13.5" customHeight="1" thickTop="1">
      <c r="A107" s="95" t="s">
        <v>326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4"/>
      <c r="M107" s="83"/>
      <c r="N107" s="83"/>
      <c r="O107" s="83"/>
      <c r="P107" s="84"/>
      <c r="Q107" s="83"/>
      <c r="R107" s="84"/>
    </row>
    <row r="108" spans="1:18" ht="13.5" customHeight="1">
      <c r="A108" s="95" t="s">
        <v>327</v>
      </c>
      <c r="B108" s="71"/>
      <c r="C108" s="77">
        <v>10000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10000</v>
      </c>
    </row>
    <row r="109" spans="1:18" ht="13.5" customHeight="1">
      <c r="A109" s="95" t="s">
        <v>328</v>
      </c>
      <c r="B109" s="78"/>
      <c r="C109" s="77">
        <v>13000</v>
      </c>
      <c r="D109" s="77"/>
      <c r="E109" s="77"/>
      <c r="F109" s="77"/>
      <c r="G109" s="77">
        <v>1872000</v>
      </c>
      <c r="H109" s="77"/>
      <c r="I109" s="77"/>
      <c r="J109" s="77"/>
      <c r="K109" s="77">
        <v>300000</v>
      </c>
      <c r="L109" s="77"/>
      <c r="M109" s="77"/>
      <c r="N109" s="77"/>
      <c r="O109" s="77"/>
      <c r="P109" s="77">
        <v>0</v>
      </c>
      <c r="Q109" s="71"/>
      <c r="R109" s="71">
        <f>SUM(C109:P109)</f>
        <v>2185000</v>
      </c>
    </row>
    <row r="110" spans="1:18" ht="13.5" customHeight="1">
      <c r="A110" s="95" t="s">
        <v>398</v>
      </c>
      <c r="B110" s="78"/>
      <c r="C110" s="77"/>
      <c r="D110" s="77"/>
      <c r="E110" s="77"/>
      <c r="F110" s="77"/>
      <c r="G110" s="77"/>
      <c r="H110" s="77"/>
      <c r="I110" s="77">
        <v>90000</v>
      </c>
      <c r="J110" s="77"/>
      <c r="K110" s="77"/>
      <c r="L110" s="77"/>
      <c r="M110" s="77"/>
      <c r="N110" s="77"/>
      <c r="O110" s="77"/>
      <c r="P110" s="77">
        <v>20000</v>
      </c>
      <c r="Q110" s="71"/>
      <c r="R110" s="71">
        <f>SUM(I110)</f>
        <v>90000</v>
      </c>
    </row>
    <row r="111" spans="1:18" ht="13.5" customHeight="1">
      <c r="A111" s="91" t="s">
        <v>329</v>
      </c>
      <c r="B111" s="77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0</v>
      </c>
    </row>
    <row r="112" spans="1:18" ht="13.5" customHeight="1" thickBot="1">
      <c r="A112" s="91" t="s">
        <v>36</v>
      </c>
      <c r="B112" s="94"/>
      <c r="C112" s="94">
        <f>SUM(C108:C111)</f>
        <v>23000</v>
      </c>
      <c r="D112" s="94">
        <v>0</v>
      </c>
      <c r="E112" s="94">
        <v>0</v>
      </c>
      <c r="F112" s="94">
        <v>0</v>
      </c>
      <c r="G112" s="94">
        <f>SUM(G109)</f>
        <v>1872000</v>
      </c>
      <c r="H112" s="94">
        <f>SUM(H109)</f>
        <v>0</v>
      </c>
      <c r="I112" s="94">
        <f>SUM(I110:I111)</f>
        <v>90000</v>
      </c>
      <c r="J112" s="94">
        <v>0</v>
      </c>
      <c r="K112" s="94">
        <f>SUM(K109)</f>
        <v>300000</v>
      </c>
      <c r="L112" s="94">
        <f>SUM(L107:L111)</f>
        <v>0</v>
      </c>
      <c r="M112" s="94"/>
      <c r="N112" s="94">
        <f>SUM(N109:N111)</f>
        <v>0</v>
      </c>
      <c r="O112" s="94">
        <f>SUM(O109:O111)</f>
        <v>0</v>
      </c>
      <c r="P112" s="94">
        <f>SUM(P109:P111)</f>
        <v>20000</v>
      </c>
      <c r="Q112" s="94"/>
      <c r="R112" s="201">
        <f>SUM(C112:P112)</f>
        <v>2305000</v>
      </c>
    </row>
    <row r="113" spans="1:18" ht="13.5" customHeight="1" thickTop="1">
      <c r="A113" s="95" t="s">
        <v>330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331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36</v>
      </c>
      <c r="B115" s="94">
        <v>0</v>
      </c>
      <c r="C115" s="94">
        <v>0</v>
      </c>
      <c r="D115" s="201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/>
      <c r="N115" s="94">
        <v>0</v>
      </c>
      <c r="O115" s="94">
        <v>0</v>
      </c>
      <c r="P115" s="94">
        <v>0</v>
      </c>
      <c r="Q115" s="94"/>
      <c r="R115" s="201">
        <f>SUM(B115:P115)</f>
        <v>0</v>
      </c>
    </row>
    <row r="116" spans="1:18" ht="13.5" customHeight="1" thickBot="1" thickTop="1">
      <c r="A116" s="92" t="s">
        <v>37</v>
      </c>
      <c r="B116" s="194">
        <f>SUM(B13)</f>
        <v>644128</v>
      </c>
      <c r="C116" s="195">
        <f>SUM(C13+C21+C26+C30+C47+C53+C59+C75+C89+C100+C106+C112)</f>
        <v>8704908.120000001</v>
      </c>
      <c r="D116" s="195">
        <f>SUM(D13+D21+D26+D30+D47+D53+D59+D75+D89+D100+D106+D112+D115)</f>
        <v>20000</v>
      </c>
      <c r="E116" s="195">
        <f aca="true" t="shared" si="3" ref="E116:L116">SUM(E13+E21+E26+E30+E47+E53+E59+E75+E89+E100+E106+E112)</f>
        <v>2055795</v>
      </c>
      <c r="F116" s="195">
        <f t="shared" si="3"/>
        <v>240000</v>
      </c>
      <c r="G116" s="195">
        <f t="shared" si="3"/>
        <v>3059298.7</v>
      </c>
      <c r="H116" s="195">
        <f t="shared" si="3"/>
        <v>1905170</v>
      </c>
      <c r="I116" s="195">
        <f t="shared" si="3"/>
        <v>446100</v>
      </c>
      <c r="J116" s="195">
        <f t="shared" si="3"/>
        <v>440000</v>
      </c>
      <c r="K116" s="195">
        <f t="shared" si="3"/>
        <v>1730680</v>
      </c>
      <c r="L116" s="195">
        <f t="shared" si="3"/>
        <v>0</v>
      </c>
      <c r="M116" s="195"/>
      <c r="N116" s="195">
        <f>SUM(N13+N21+N26+N30+N47+N53+N59+N75+N89+N100+N106+N112)</f>
        <v>80000</v>
      </c>
      <c r="O116" s="195">
        <f>SUM(O13+O21+O26+O30+O47+O53+O59+O75+O89+O100+O106+O112)</f>
        <v>150000</v>
      </c>
      <c r="P116" s="195">
        <f>SUM(P13+P21+P26+P30+P47+P53+P59+P75+P89+P100+P106+P112)</f>
        <v>224048</v>
      </c>
      <c r="Q116" s="195">
        <f>SUM(Q13+Q21+Q26+Q30+Q47+Q53+Q59+Q75+Q89+Q100+Q106+Q112)</f>
        <v>2590000</v>
      </c>
      <c r="R116" s="194">
        <f>SUM(B116:Q116)</f>
        <v>22290127.82</v>
      </c>
    </row>
    <row r="117" ht="15" thickTop="1"/>
  </sheetData>
  <sheetProtection/>
  <mergeCells count="27">
    <mergeCell ref="M5:N5"/>
    <mergeCell ref="M42:N42"/>
    <mergeCell ref="M81:N81"/>
    <mergeCell ref="R42:R43"/>
    <mergeCell ref="B81:B82"/>
    <mergeCell ref="C81:E81"/>
    <mergeCell ref="G81:H81"/>
    <mergeCell ref="I81:J81"/>
    <mergeCell ref="K81:L81"/>
    <mergeCell ref="O81:P81"/>
    <mergeCell ref="R81:R82"/>
    <mergeCell ref="B42:B43"/>
    <mergeCell ref="C42:E42"/>
    <mergeCell ref="G42:H42"/>
    <mergeCell ref="I42:J42"/>
    <mergeCell ref="K42:L42"/>
    <mergeCell ref="O42:P42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S13" sqref="S1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3" t="s">
        <v>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6.5">
      <c r="A2" s="343" t="s">
        <v>424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6.5">
      <c r="A3" s="343" t="s">
        <v>425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8" ht="16.5">
      <c r="A4" s="344" t="s">
        <v>526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="124" customFormat="1" ht="14.25">
      <c r="Q5" s="192"/>
    </row>
    <row r="6" spans="1:18" s="65" customFormat="1" ht="14.25">
      <c r="A6" s="66" t="s">
        <v>116</v>
      </c>
      <c r="B6" s="345" t="s">
        <v>93</v>
      </c>
      <c r="C6" s="346" t="s">
        <v>94</v>
      </c>
      <c r="D6" s="346"/>
      <c r="E6" s="346"/>
      <c r="F6" s="88" t="s">
        <v>95</v>
      </c>
      <c r="G6" s="346" t="s">
        <v>96</v>
      </c>
      <c r="H6" s="346"/>
      <c r="I6" s="346" t="s">
        <v>97</v>
      </c>
      <c r="J6" s="346"/>
      <c r="K6" s="88" t="s">
        <v>98</v>
      </c>
      <c r="L6" s="346" t="s">
        <v>99</v>
      </c>
      <c r="M6" s="346"/>
      <c r="N6" s="346" t="s">
        <v>100</v>
      </c>
      <c r="O6" s="346"/>
      <c r="P6" s="347" t="s">
        <v>114</v>
      </c>
      <c r="Q6" s="348"/>
      <c r="R6" s="349" t="s">
        <v>19</v>
      </c>
    </row>
    <row r="7" spans="1:18" s="65" customFormat="1" ht="14.25">
      <c r="A7" s="67" t="s">
        <v>117</v>
      </c>
      <c r="B7" s="345"/>
      <c r="C7" s="88" t="s">
        <v>101</v>
      </c>
      <c r="D7" s="88" t="s">
        <v>112</v>
      </c>
      <c r="E7" s="88" t="s">
        <v>102</v>
      </c>
      <c r="F7" s="88" t="s">
        <v>103</v>
      </c>
      <c r="G7" s="88" t="s">
        <v>104</v>
      </c>
      <c r="H7" s="88" t="s">
        <v>105</v>
      </c>
      <c r="I7" s="88" t="s">
        <v>106</v>
      </c>
      <c r="J7" s="88" t="s">
        <v>107</v>
      </c>
      <c r="K7" s="88" t="s">
        <v>113</v>
      </c>
      <c r="L7" s="88" t="s">
        <v>108</v>
      </c>
      <c r="M7" s="88" t="s">
        <v>109</v>
      </c>
      <c r="N7" s="88" t="s">
        <v>110</v>
      </c>
      <c r="O7" s="88" t="s">
        <v>111</v>
      </c>
      <c r="P7" s="88" t="s">
        <v>332</v>
      </c>
      <c r="Q7" s="193" t="s">
        <v>115</v>
      </c>
      <c r="R7" s="350"/>
    </row>
    <row r="8" spans="1:18" ht="14.25">
      <c r="A8" s="89" t="s">
        <v>262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263</v>
      </c>
      <c r="B9" s="68">
        <v>0</v>
      </c>
      <c r="C9" s="68"/>
      <c r="D9" s="68"/>
      <c r="E9" s="68" t="s">
        <v>260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264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265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266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267</v>
      </c>
      <c r="B13" s="87">
        <v>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>
        <f>SUM(B13:Q13)</f>
        <v>0</v>
      </c>
    </row>
    <row r="14" spans="1:18" ht="14.25">
      <c r="A14" s="91" t="s">
        <v>36</v>
      </c>
      <c r="B14" s="73">
        <f>SUM(B9:B13)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0</v>
      </c>
    </row>
    <row r="15" spans="1:18" ht="15" thickBot="1">
      <c r="A15" s="92" t="s">
        <v>37</v>
      </c>
      <c r="B15" s="74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1"/>
      <c r="R15" s="74">
        <f>SUM(B15:P15)</f>
        <v>0</v>
      </c>
    </row>
    <row r="16" spans="1:18" ht="15" thickTop="1">
      <c r="A16" s="93" t="s">
        <v>268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269</v>
      </c>
      <c r="B17" s="77"/>
      <c r="C17" s="71"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0</v>
      </c>
    </row>
    <row r="18" spans="1:18" ht="14.25">
      <c r="A18" s="90" t="s">
        <v>270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271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272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273</v>
      </c>
      <c r="B21" s="78"/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0</v>
      </c>
    </row>
    <row r="22" spans="1:18" ht="14.25">
      <c r="A22" s="91" t="s">
        <v>274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36</v>
      </c>
      <c r="B23" s="62"/>
      <c r="C23" s="80">
        <f>SUM(C17:C22)</f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0</v>
      </c>
    </row>
    <row r="24" spans="1:18" ht="15" thickBot="1">
      <c r="A24" s="92" t="s">
        <v>37</v>
      </c>
      <c r="B24" s="94"/>
      <c r="C24" s="81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0</v>
      </c>
    </row>
    <row r="25" spans="1:18" ht="15" thickTop="1">
      <c r="A25" s="90" t="s">
        <v>275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276</v>
      </c>
      <c r="B26" s="77"/>
      <c r="C26" s="77">
        <v>0</v>
      </c>
      <c r="D26" s="77"/>
      <c r="E26" s="77">
        <v>0</v>
      </c>
      <c r="F26" s="77"/>
      <c r="G26" s="77">
        <v>0</v>
      </c>
      <c r="H26" s="77"/>
      <c r="I26" s="77"/>
      <c r="J26" s="77"/>
      <c r="K26" s="77"/>
      <c r="L26" s="77">
        <v>0</v>
      </c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1" t="s">
        <v>277</v>
      </c>
      <c r="B27" s="77"/>
      <c r="C27" s="77">
        <v>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0" t="s">
        <v>278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260</v>
      </c>
      <c r="I28" s="78"/>
      <c r="J28" s="78"/>
      <c r="K28" s="78"/>
      <c r="L28" s="78">
        <v>0</v>
      </c>
      <c r="M28" s="78"/>
      <c r="N28" s="78"/>
      <c r="O28" s="68"/>
      <c r="P28" s="78"/>
      <c r="Q28" s="78"/>
      <c r="R28" s="68">
        <f>SUM(C28:Q28)</f>
        <v>0</v>
      </c>
    </row>
    <row r="29" spans="1:18" ht="14.25">
      <c r="A29" s="91" t="s">
        <v>36</v>
      </c>
      <c r="B29" s="62"/>
      <c r="C29" s="80">
        <f>SUM(C26:C28)</f>
        <v>0</v>
      </c>
      <c r="D29" s="62">
        <v>0</v>
      </c>
      <c r="E29" s="62">
        <f>SUM(E26:E28)</f>
        <v>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f>SUM(L26:L28)</f>
        <v>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0</v>
      </c>
    </row>
    <row r="30" spans="1:18" ht="15" thickBot="1">
      <c r="A30" s="92" t="s">
        <v>37</v>
      </c>
      <c r="B30" s="94"/>
      <c r="C30" s="81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v>0</v>
      </c>
    </row>
    <row r="31" spans="1:18" ht="15" thickTop="1">
      <c r="A31" s="90" t="s">
        <v>275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279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280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36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37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4"/>
    </row>
    <row r="42" spans="1:18" s="65" customFormat="1" ht="14.25">
      <c r="A42" s="66" t="s">
        <v>116</v>
      </c>
      <c r="B42" s="345" t="s">
        <v>93</v>
      </c>
      <c r="C42" s="346" t="s">
        <v>94</v>
      </c>
      <c r="D42" s="346"/>
      <c r="E42" s="346"/>
      <c r="F42" s="88" t="s">
        <v>95</v>
      </c>
      <c r="G42" s="346" t="s">
        <v>96</v>
      </c>
      <c r="H42" s="346"/>
      <c r="I42" s="346" t="s">
        <v>97</v>
      </c>
      <c r="J42" s="346"/>
      <c r="K42" s="88" t="s">
        <v>98</v>
      </c>
      <c r="L42" s="346" t="s">
        <v>99</v>
      </c>
      <c r="M42" s="346"/>
      <c r="N42" s="346" t="s">
        <v>100</v>
      </c>
      <c r="O42" s="346"/>
      <c r="P42" s="347" t="s">
        <v>114</v>
      </c>
      <c r="Q42" s="348"/>
      <c r="R42" s="349" t="s">
        <v>19</v>
      </c>
    </row>
    <row r="43" spans="1:18" s="65" customFormat="1" ht="14.25">
      <c r="A43" s="67" t="s">
        <v>117</v>
      </c>
      <c r="B43" s="345"/>
      <c r="C43" s="88" t="s">
        <v>101</v>
      </c>
      <c r="D43" s="88" t="s">
        <v>112</v>
      </c>
      <c r="E43" s="88" t="s">
        <v>102</v>
      </c>
      <c r="F43" s="88" t="s">
        <v>103</v>
      </c>
      <c r="G43" s="88" t="s">
        <v>104</v>
      </c>
      <c r="H43" s="88" t="s">
        <v>105</v>
      </c>
      <c r="I43" s="88" t="s">
        <v>106</v>
      </c>
      <c r="J43" s="88" t="s">
        <v>107</v>
      </c>
      <c r="K43" s="88" t="s">
        <v>113</v>
      </c>
      <c r="L43" s="88" t="s">
        <v>108</v>
      </c>
      <c r="M43" s="88" t="s">
        <v>109</v>
      </c>
      <c r="N43" s="88" t="s">
        <v>110</v>
      </c>
      <c r="O43" s="88" t="s">
        <v>111</v>
      </c>
      <c r="P43" s="88" t="s">
        <v>332</v>
      </c>
      <c r="Q43" s="193" t="s">
        <v>115</v>
      </c>
      <c r="R43" s="350"/>
    </row>
    <row r="44" spans="1:18" ht="14.25">
      <c r="A44" s="93" t="s">
        <v>275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281</v>
      </c>
      <c r="B45" s="71"/>
      <c r="C45" s="71">
        <v>0</v>
      </c>
      <c r="D45" s="71"/>
      <c r="E45" s="71">
        <v>0</v>
      </c>
      <c r="F45" s="71"/>
      <c r="G45" s="71">
        <v>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0</v>
      </c>
    </row>
    <row r="46" spans="1:18" ht="14.25">
      <c r="A46" s="95" t="s">
        <v>282</v>
      </c>
      <c r="B46" s="68"/>
      <c r="C46" s="68">
        <v>0</v>
      </c>
      <c r="D46" s="68"/>
      <c r="E46" s="68">
        <v>0</v>
      </c>
      <c r="F46" s="68"/>
      <c r="G46" s="68">
        <v>0</v>
      </c>
      <c r="H46" s="68"/>
      <c r="I46" s="68">
        <v>0</v>
      </c>
      <c r="J46" s="68"/>
      <c r="K46" s="68"/>
      <c r="L46" s="68">
        <v>0</v>
      </c>
      <c r="M46" s="68"/>
      <c r="N46" s="68"/>
      <c r="O46" s="68"/>
      <c r="P46" s="68"/>
      <c r="Q46" s="68"/>
      <c r="R46" s="68">
        <f>SUM(C46:P46)</f>
        <v>0</v>
      </c>
    </row>
    <row r="47" spans="1:18" ht="14.25">
      <c r="A47" s="91" t="s">
        <v>36</v>
      </c>
      <c r="B47" s="62"/>
      <c r="C47" s="73">
        <v>0</v>
      </c>
      <c r="D47" s="62">
        <v>0</v>
      </c>
      <c r="E47" s="62">
        <f>SUM(E45:E46)</f>
        <v>0</v>
      </c>
      <c r="F47" s="62">
        <v>0</v>
      </c>
      <c r="G47" s="62">
        <f>SUM(G45:G46)</f>
        <v>0</v>
      </c>
      <c r="H47" s="62">
        <f>SUM(H45:H46)</f>
        <v>0</v>
      </c>
      <c r="I47" s="62">
        <f>SUM(I45:I46)</f>
        <v>0</v>
      </c>
      <c r="J47" s="62">
        <v>0</v>
      </c>
      <c r="K47" s="62">
        <v>0</v>
      </c>
      <c r="L47" s="62">
        <f>SUM(L45:L46)</f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Bot="1">
      <c r="A48" s="92" t="s">
        <v>37</v>
      </c>
      <c r="B48" s="94"/>
      <c r="C48" s="74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0</v>
      </c>
    </row>
    <row r="49" spans="1:18" ht="15" thickTop="1">
      <c r="A49" s="93" t="s">
        <v>283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284</v>
      </c>
      <c r="B50" s="77"/>
      <c r="C50" s="77">
        <v>0</v>
      </c>
      <c r="D50" s="77"/>
      <c r="E50" s="77">
        <v>0</v>
      </c>
      <c r="F50" s="77"/>
      <c r="G50" s="77">
        <v>0</v>
      </c>
      <c r="H50" s="77"/>
      <c r="I50" s="77">
        <v>0</v>
      </c>
      <c r="J50" s="77"/>
      <c r="K50" s="77"/>
      <c r="L50" s="77">
        <v>0</v>
      </c>
      <c r="M50" s="77">
        <v>0</v>
      </c>
      <c r="N50" s="77"/>
      <c r="O50" s="71"/>
      <c r="P50" s="77"/>
      <c r="Q50" s="77"/>
      <c r="R50" s="71">
        <f aca="true" t="shared" si="1" ref="R50:R56">SUM(C50:P50)</f>
        <v>0</v>
      </c>
    </row>
    <row r="51" spans="1:18" ht="14.25">
      <c r="A51" s="90" t="s">
        <v>285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286</v>
      </c>
      <c r="B52" s="77"/>
      <c r="C52" s="77">
        <v>0</v>
      </c>
      <c r="D52" s="77"/>
      <c r="E52" s="77">
        <v>0</v>
      </c>
      <c r="F52" s="77"/>
      <c r="G52" s="77">
        <v>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0</v>
      </c>
    </row>
    <row r="53" spans="1:18" ht="14.25">
      <c r="A53" s="91" t="s">
        <v>287</v>
      </c>
      <c r="B53" s="77"/>
      <c r="C53" s="77">
        <v>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87"/>
      <c r="O53" s="71"/>
      <c r="P53" s="77"/>
      <c r="Q53" s="77"/>
      <c r="R53" s="71">
        <f t="shared" si="1"/>
        <v>0</v>
      </c>
    </row>
    <row r="54" spans="1:18" ht="14.25">
      <c r="A54" s="125" t="s">
        <v>288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88"/>
      <c r="O54" s="72"/>
      <c r="P54" s="79"/>
      <c r="Q54" s="79"/>
      <c r="R54" s="87"/>
    </row>
    <row r="55" spans="1:18" ht="14.25">
      <c r="A55" s="91" t="s">
        <v>36</v>
      </c>
      <c r="B55" s="62"/>
      <c r="C55" s="80">
        <v>0</v>
      </c>
      <c r="D55" s="62">
        <v>0</v>
      </c>
      <c r="E55" s="62">
        <f>SUM(E50:E54)</f>
        <v>0</v>
      </c>
      <c r="F55" s="62">
        <v>0</v>
      </c>
      <c r="G55" s="62">
        <f>SUM(G50+G52)</f>
        <v>0</v>
      </c>
      <c r="H55" s="62">
        <v>0</v>
      </c>
      <c r="I55" s="62">
        <f>SUM(I50)</f>
        <v>0</v>
      </c>
      <c r="J55" s="62">
        <v>0</v>
      </c>
      <c r="K55" s="62">
        <v>0</v>
      </c>
      <c r="L55" s="62">
        <f>SUM(L50)</f>
        <v>0</v>
      </c>
      <c r="M55" s="62">
        <f>SUM(M50:M53)</f>
        <v>0</v>
      </c>
      <c r="N55" s="62">
        <v>0</v>
      </c>
      <c r="O55" s="62">
        <v>0</v>
      </c>
      <c r="P55" s="62">
        <v>0</v>
      </c>
      <c r="Q55" s="62"/>
      <c r="R55" s="73">
        <f t="shared" si="1"/>
        <v>0</v>
      </c>
    </row>
    <row r="56" spans="1:18" ht="15" thickBot="1">
      <c r="A56" s="92" t="s">
        <v>37</v>
      </c>
      <c r="B56" s="94"/>
      <c r="C56" s="81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62">
        <v>0</v>
      </c>
      <c r="P56" s="94">
        <v>0</v>
      </c>
      <c r="Q56" s="94"/>
      <c r="R56" s="74">
        <f t="shared" si="1"/>
        <v>0</v>
      </c>
    </row>
    <row r="57" spans="1:18" ht="15" thickTop="1">
      <c r="A57" s="95" t="s">
        <v>289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290</v>
      </c>
      <c r="B58" s="216" t="s">
        <v>410</v>
      </c>
      <c r="C58" s="83">
        <v>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>
        <v>0</v>
      </c>
      <c r="M58" s="83"/>
      <c r="N58" s="83"/>
      <c r="O58" s="84"/>
      <c r="P58" s="83"/>
      <c r="Q58" s="83"/>
      <c r="R58" s="84">
        <f>SUM(C58:P58)</f>
        <v>0</v>
      </c>
    </row>
    <row r="59" spans="1:18" ht="14.25">
      <c r="A59" s="91" t="s">
        <v>291</v>
      </c>
      <c r="B59" s="77"/>
      <c r="C59" s="77">
        <v>0</v>
      </c>
      <c r="D59" s="77"/>
      <c r="E59" s="77" t="s">
        <v>423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292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293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36</v>
      </c>
      <c r="B62" s="62"/>
      <c r="C62" s="80">
        <f>SUM(C58:C61)</f>
        <v>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0</v>
      </c>
    </row>
    <row r="63" spans="1:18" ht="15" thickBot="1">
      <c r="A63" s="92" t="s">
        <v>37</v>
      </c>
      <c r="B63" s="94"/>
      <c r="C63" s="81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/>
      <c r="R63" s="74">
        <f>SUM(C63:Q63)</f>
        <v>0</v>
      </c>
    </row>
    <row r="64" spans="1:18" ht="15" thickTop="1">
      <c r="A64" s="95" t="s">
        <v>294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295</v>
      </c>
      <c r="B65" s="83"/>
      <c r="C65" s="83">
        <v>0</v>
      </c>
      <c r="D65" s="83"/>
      <c r="E65" s="83">
        <v>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0</v>
      </c>
    </row>
    <row r="66" spans="1:18" ht="14.25">
      <c r="A66" s="91" t="s">
        <v>296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297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298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299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300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0</v>
      </c>
      <c r="M70" s="77"/>
      <c r="N70" s="77"/>
      <c r="O70" s="71"/>
      <c r="P70" s="77"/>
      <c r="Q70" s="77"/>
      <c r="R70" s="71">
        <f>SUM(L70:Q70)</f>
        <v>0</v>
      </c>
    </row>
    <row r="71" spans="1:18" ht="14.25">
      <c r="A71" s="95" t="s">
        <v>301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302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304</v>
      </c>
      <c r="B74" s="77"/>
      <c r="C74" s="77">
        <v>0</v>
      </c>
      <c r="D74" s="77"/>
      <c r="E74" s="77">
        <v>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0</v>
      </c>
    </row>
    <row r="75" spans="1:18" ht="14.25">
      <c r="A75" s="95" t="s">
        <v>305</v>
      </c>
      <c r="B75" s="77"/>
      <c r="C75" s="77"/>
      <c r="D75" s="77"/>
      <c r="E75" s="77"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306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36</v>
      </c>
      <c r="B77" s="62"/>
      <c r="C77" s="80">
        <f>SUM(C65:C76)</f>
        <v>0</v>
      </c>
      <c r="D77" s="62">
        <f>SUM(D67:D76)</f>
        <v>0</v>
      </c>
      <c r="E77" s="62">
        <f>SUM(E65:E76)</f>
        <v>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0</v>
      </c>
    </row>
    <row r="78" spans="1:18" ht="15" thickBot="1">
      <c r="A78" s="92" t="s">
        <v>37</v>
      </c>
      <c r="B78" s="94"/>
      <c r="C78" s="81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0</v>
      </c>
    </row>
    <row r="79" ht="15" thickTop="1"/>
    <row r="82" spans="1:18" s="65" customFormat="1" ht="13.5" customHeight="1">
      <c r="A82" s="66" t="s">
        <v>116</v>
      </c>
      <c r="B82" s="345" t="s">
        <v>93</v>
      </c>
      <c r="C82" s="346" t="s">
        <v>94</v>
      </c>
      <c r="D82" s="346"/>
      <c r="E82" s="346"/>
      <c r="F82" s="88" t="s">
        <v>95</v>
      </c>
      <c r="G82" s="346" t="s">
        <v>96</v>
      </c>
      <c r="H82" s="346"/>
      <c r="I82" s="346" t="s">
        <v>97</v>
      </c>
      <c r="J82" s="346"/>
      <c r="K82" s="88" t="s">
        <v>98</v>
      </c>
      <c r="L82" s="346" t="s">
        <v>99</v>
      </c>
      <c r="M82" s="346"/>
      <c r="N82" s="346" t="s">
        <v>100</v>
      </c>
      <c r="O82" s="346"/>
      <c r="P82" s="347" t="s">
        <v>114</v>
      </c>
      <c r="Q82" s="348"/>
      <c r="R82" s="349" t="s">
        <v>19</v>
      </c>
    </row>
    <row r="83" spans="1:18" s="65" customFormat="1" ht="13.5" customHeight="1">
      <c r="A83" s="67" t="s">
        <v>117</v>
      </c>
      <c r="B83" s="345"/>
      <c r="C83" s="88" t="s">
        <v>101</v>
      </c>
      <c r="D83" s="88" t="s">
        <v>112</v>
      </c>
      <c r="E83" s="88" t="s">
        <v>102</v>
      </c>
      <c r="F83" s="88" t="s">
        <v>103</v>
      </c>
      <c r="G83" s="88" t="s">
        <v>104</v>
      </c>
      <c r="H83" s="88" t="s">
        <v>105</v>
      </c>
      <c r="I83" s="88" t="s">
        <v>106</v>
      </c>
      <c r="J83" s="88" t="s">
        <v>107</v>
      </c>
      <c r="K83" s="88" t="s">
        <v>113</v>
      </c>
      <c r="L83" s="88" t="s">
        <v>108</v>
      </c>
      <c r="M83" s="88" t="s">
        <v>109</v>
      </c>
      <c r="N83" s="88" t="s">
        <v>110</v>
      </c>
      <c r="O83" s="88" t="s">
        <v>111</v>
      </c>
      <c r="P83" s="88" t="s">
        <v>332</v>
      </c>
      <c r="Q83" s="193" t="s">
        <v>115</v>
      </c>
      <c r="R83" s="350"/>
    </row>
    <row r="84" spans="1:18" ht="13.5" customHeight="1">
      <c r="A84" s="93" t="s">
        <v>307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308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309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310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311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312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36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37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1"/>
      <c r="R91" s="74">
        <f>SUM(C91:P91)</f>
        <v>0</v>
      </c>
    </row>
    <row r="92" spans="1:18" ht="13.5" customHeight="1" thickTop="1">
      <c r="A92" s="93" t="s">
        <v>313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>
        <v>0</v>
      </c>
      <c r="M93" s="77"/>
      <c r="N93" s="77"/>
      <c r="O93" s="71"/>
      <c r="P93" s="77"/>
      <c r="Q93" s="77"/>
      <c r="R93" s="71"/>
    </row>
    <row r="94" spans="1:18" ht="13.5" customHeight="1">
      <c r="A94" s="91" t="s">
        <v>315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318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319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320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>
        <v>0</v>
      </c>
      <c r="M99" s="77"/>
      <c r="N99" s="77"/>
      <c r="O99" s="71"/>
      <c r="P99" s="77"/>
      <c r="Q99" s="77"/>
      <c r="R99" s="71"/>
    </row>
    <row r="100" spans="1:18" ht="13.5" customHeight="1">
      <c r="A100" s="95" t="s">
        <v>321</v>
      </c>
      <c r="B100" s="78"/>
      <c r="C100" s="78">
        <v>0</v>
      </c>
      <c r="D100" s="78"/>
      <c r="E100" s="78"/>
      <c r="F100" s="78"/>
      <c r="G100" s="78">
        <v>0</v>
      </c>
      <c r="H100" s="152"/>
      <c r="I100" s="78">
        <v>0</v>
      </c>
      <c r="J100" s="78"/>
      <c r="K100" s="78"/>
      <c r="L100" s="78"/>
      <c r="M100" s="78"/>
      <c r="N100" s="78"/>
      <c r="O100" s="68"/>
      <c r="P100" s="78"/>
      <c r="Q100" s="78"/>
      <c r="R100" s="214">
        <f>SUM(C100:Q100)</f>
        <v>0</v>
      </c>
    </row>
    <row r="101" spans="1:18" ht="13.5" customHeight="1">
      <c r="A101" s="91" t="s">
        <v>36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f>SUM(I100)</f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SUM(C101:Q101)</f>
        <v>0</v>
      </c>
    </row>
    <row r="102" spans="1:18" ht="13.5" customHeight="1" thickBot="1">
      <c r="A102" s="92" t="s">
        <v>37</v>
      </c>
      <c r="B102" s="94"/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0</v>
      </c>
    </row>
    <row r="103" spans="1:18" ht="13.5" customHeight="1" thickTop="1">
      <c r="A103" s="95" t="s">
        <v>322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325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36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37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326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327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328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>
        <v>0</v>
      </c>
      <c r="N111" s="77"/>
      <c r="O111" s="77">
        <v>0</v>
      </c>
      <c r="P111" s="71"/>
      <c r="Q111" s="71"/>
      <c r="R111" s="71">
        <f>SUM(C111:P111)</f>
        <v>0</v>
      </c>
    </row>
    <row r="112" spans="1:18" ht="13.5" customHeight="1">
      <c r="A112" s="91" t="s">
        <v>329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0</v>
      </c>
    </row>
    <row r="115" spans="1:18" ht="13.5" customHeight="1" thickTop="1">
      <c r="A115" s="95" t="s">
        <v>330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331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SUM(B14)</f>
        <v>0</v>
      </c>
      <c r="C119" s="62">
        <f>SUM(C23+C29+C34+C47+C55+C62+C77+C90+C101+C107++C113)</f>
        <v>0</v>
      </c>
      <c r="D119" s="151">
        <f>SUM(D62)</f>
        <v>0</v>
      </c>
      <c r="E119" s="151">
        <f>SUM(E23+E29+E34+E47+E55+E62+E77+E90+E101+E107+E113)</f>
        <v>0</v>
      </c>
      <c r="F119" s="151">
        <f>SUM(F62)</f>
        <v>0</v>
      </c>
      <c r="G119" s="151">
        <f>SUM(G29+G47+G55+G62+G77+G90+G101+G107+G113)</f>
        <v>0</v>
      </c>
      <c r="H119" s="151">
        <f>SUM(H47+H62+H113)</f>
        <v>0</v>
      </c>
      <c r="I119" s="151">
        <f>SUM(I47+I55+I62+I77+I90+I101+I107+I113)</f>
        <v>0</v>
      </c>
      <c r="J119" s="151">
        <f>SUM(J47+J55+J62+J77+J90+J101+J107+J113)</f>
        <v>0</v>
      </c>
      <c r="K119" s="151">
        <v>0</v>
      </c>
      <c r="L119" s="151">
        <f>SUM(L29+L34+L47+L55+L62+L77+L90+L101+L107+L113)</f>
        <v>0</v>
      </c>
      <c r="M119" s="151">
        <f>SUM(M113)</f>
        <v>0</v>
      </c>
      <c r="N119" s="151">
        <f>SUM(N62)</f>
        <v>0</v>
      </c>
      <c r="O119" s="151">
        <f>SUM(O14+O23+O29+O34+O47+O55+O62+O77+O90+O101+O107+O113)</f>
        <v>0</v>
      </c>
      <c r="P119" s="151">
        <v>0</v>
      </c>
      <c r="Q119" s="151"/>
      <c r="R119" s="73">
        <f>SUM(B119:Q119)</f>
        <v>0</v>
      </c>
    </row>
    <row r="120" spans="1:18" ht="13.5" customHeight="1" thickBot="1">
      <c r="A120" s="92" t="s">
        <v>37</v>
      </c>
      <c r="B120" s="74">
        <v>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A4:R4"/>
    <mergeCell ref="G6:H6"/>
    <mergeCell ref="P42:Q42"/>
    <mergeCell ref="B42:B43"/>
    <mergeCell ref="C42:E42"/>
    <mergeCell ref="I42:J42"/>
    <mergeCell ref="L42:M42"/>
    <mergeCell ref="G42:H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28">
      <selection activeCell="A3" sqref="A3:R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3" t="s">
        <v>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6.5">
      <c r="A2" s="343" t="s">
        <v>426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6.5">
      <c r="A3" s="344" t="s">
        <v>526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="124" customFormat="1" ht="14.25">
      <c r="Q4" s="192"/>
    </row>
    <row r="5" spans="1:18" s="65" customFormat="1" ht="14.25">
      <c r="A5" s="66" t="s">
        <v>116</v>
      </c>
      <c r="B5" s="345" t="s">
        <v>93</v>
      </c>
      <c r="C5" s="346" t="s">
        <v>94</v>
      </c>
      <c r="D5" s="346"/>
      <c r="E5" s="346"/>
      <c r="F5" s="88" t="s">
        <v>95</v>
      </c>
      <c r="G5" s="346" t="s">
        <v>96</v>
      </c>
      <c r="H5" s="346"/>
      <c r="I5" s="346" t="s">
        <v>97</v>
      </c>
      <c r="J5" s="346"/>
      <c r="K5" s="88" t="s">
        <v>98</v>
      </c>
      <c r="L5" s="346" t="s">
        <v>99</v>
      </c>
      <c r="M5" s="346"/>
      <c r="N5" s="346" t="s">
        <v>100</v>
      </c>
      <c r="O5" s="346"/>
      <c r="P5" s="347" t="s">
        <v>114</v>
      </c>
      <c r="Q5" s="348"/>
      <c r="R5" s="349" t="s">
        <v>19</v>
      </c>
    </row>
    <row r="6" spans="1:18" s="65" customFormat="1" ht="14.25">
      <c r="A6" s="67" t="s">
        <v>117</v>
      </c>
      <c r="B6" s="345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113</v>
      </c>
      <c r="L6" s="88" t="s">
        <v>108</v>
      </c>
      <c r="M6" s="88" t="s">
        <v>109</v>
      </c>
      <c r="N6" s="88" t="s">
        <v>110</v>
      </c>
      <c r="O6" s="88" t="s">
        <v>111</v>
      </c>
      <c r="P6" s="88" t="s">
        <v>332</v>
      </c>
      <c r="Q6" s="193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v>0</v>
      </c>
      <c r="C8" s="68"/>
      <c r="D8" s="68"/>
      <c r="E8" s="68" t="s">
        <v>260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264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265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266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267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1"/>
      <c r="R14" s="74">
        <f>SUM(B14:P14)</f>
        <v>0</v>
      </c>
    </row>
    <row r="15" spans="1:18" ht="15" thickTop="1">
      <c r="A15" s="93" t="s">
        <v>268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269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270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271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272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273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274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276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278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279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280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116</v>
      </c>
      <c r="B41" s="345" t="s">
        <v>93</v>
      </c>
      <c r="C41" s="346" t="s">
        <v>94</v>
      </c>
      <c r="D41" s="346"/>
      <c r="E41" s="346"/>
      <c r="F41" s="88" t="s">
        <v>95</v>
      </c>
      <c r="G41" s="346" t="s">
        <v>96</v>
      </c>
      <c r="H41" s="346"/>
      <c r="I41" s="346" t="s">
        <v>97</v>
      </c>
      <c r="J41" s="346"/>
      <c r="K41" s="88" t="s">
        <v>98</v>
      </c>
      <c r="L41" s="346" t="s">
        <v>99</v>
      </c>
      <c r="M41" s="346"/>
      <c r="N41" s="346" t="s">
        <v>100</v>
      </c>
      <c r="O41" s="346"/>
      <c r="P41" s="347" t="s">
        <v>114</v>
      </c>
      <c r="Q41" s="348"/>
      <c r="R41" s="349" t="s">
        <v>19</v>
      </c>
    </row>
    <row r="42" spans="1:18" s="65" customFormat="1" ht="14.25">
      <c r="A42" s="67" t="s">
        <v>117</v>
      </c>
      <c r="B42" s="345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113</v>
      </c>
      <c r="L42" s="88" t="s">
        <v>108</v>
      </c>
      <c r="M42" s="88" t="s">
        <v>109</v>
      </c>
      <c r="N42" s="88" t="s">
        <v>110</v>
      </c>
      <c r="O42" s="88" t="s">
        <v>111</v>
      </c>
      <c r="P42" s="88" t="s">
        <v>332</v>
      </c>
      <c r="Q42" s="193" t="s">
        <v>115</v>
      </c>
      <c r="R42" s="350"/>
    </row>
    <row r="43" spans="1:18" ht="14.25">
      <c r="A43" s="93" t="s">
        <v>275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281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282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284</v>
      </c>
      <c r="B49" s="77"/>
      <c r="C49" s="77">
        <v>0</v>
      </c>
      <c r="D49" s="77"/>
      <c r="E49" s="77"/>
      <c r="F49" s="77"/>
      <c r="G49" s="77"/>
      <c r="H49" s="77"/>
      <c r="I49" s="77" t="s">
        <v>260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285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286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287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87"/>
      <c r="O52" s="71"/>
      <c r="P52" s="77"/>
      <c r="Q52" s="77"/>
      <c r="R52" s="71">
        <f t="shared" si="1"/>
        <v>0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8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473</v>
      </c>
      <c r="M56" s="83"/>
      <c r="N56" s="84"/>
      <c r="O56" s="85"/>
      <c r="P56" s="84"/>
      <c r="Q56" s="84"/>
      <c r="R56" s="85"/>
    </row>
    <row r="57" spans="1:18" ht="14.25">
      <c r="A57" s="95" t="s">
        <v>290</v>
      </c>
      <c r="B57" s="216" t="s">
        <v>410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291</v>
      </c>
      <c r="B58" s="77"/>
      <c r="C58" s="77">
        <v>0</v>
      </c>
      <c r="D58" s="77"/>
      <c r="E58" s="77" t="s">
        <v>423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292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293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295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296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297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302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304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45" t="s">
        <v>93</v>
      </c>
      <c r="C81" s="346" t="s">
        <v>94</v>
      </c>
      <c r="D81" s="346"/>
      <c r="E81" s="346"/>
      <c r="F81" s="88" t="s">
        <v>95</v>
      </c>
      <c r="G81" s="346" t="s">
        <v>96</v>
      </c>
      <c r="H81" s="346"/>
      <c r="I81" s="346" t="s">
        <v>97</v>
      </c>
      <c r="J81" s="346"/>
      <c r="K81" s="88" t="s">
        <v>98</v>
      </c>
      <c r="L81" s="346" t="s">
        <v>99</v>
      </c>
      <c r="M81" s="346"/>
      <c r="N81" s="346" t="s">
        <v>100</v>
      </c>
      <c r="O81" s="346"/>
      <c r="P81" s="347" t="s">
        <v>114</v>
      </c>
      <c r="Q81" s="348"/>
      <c r="R81" s="349" t="s">
        <v>19</v>
      </c>
    </row>
    <row r="82" spans="1:18" s="65" customFormat="1" ht="13.5" customHeight="1">
      <c r="A82" s="67" t="s">
        <v>117</v>
      </c>
      <c r="B82" s="345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113</v>
      </c>
      <c r="L82" s="88" t="s">
        <v>108</v>
      </c>
      <c r="M82" s="88" t="s">
        <v>109</v>
      </c>
      <c r="N82" s="88" t="s">
        <v>110</v>
      </c>
      <c r="O82" s="88" t="s">
        <v>111</v>
      </c>
      <c r="P82" s="88" t="s">
        <v>332</v>
      </c>
      <c r="Q82" s="193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309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310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311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312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314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321</v>
      </c>
      <c r="B99" s="78"/>
      <c r="C99" s="78">
        <v>0</v>
      </c>
      <c r="D99" s="78"/>
      <c r="E99" s="78"/>
      <c r="F99" s="78"/>
      <c r="G99" s="78">
        <v>0</v>
      </c>
      <c r="H99" s="152"/>
      <c r="I99" s="78"/>
      <c r="J99" s="78"/>
      <c r="K99" s="78"/>
      <c r="L99" s="78"/>
      <c r="M99" s="78"/>
      <c r="N99" s="78"/>
      <c r="O99" s="68"/>
      <c r="P99" s="78"/>
      <c r="Q99" s="78"/>
      <c r="R99" s="214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327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328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329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330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331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1">
        <v>0</v>
      </c>
      <c r="E118" s="151">
        <f>SUM(E22+E28+E33+E46+E54+E61+E76+E89+E100+E106+E112)</f>
        <v>0</v>
      </c>
      <c r="F118" s="151">
        <f>SUM(F61)</f>
        <v>0</v>
      </c>
      <c r="G118" s="151">
        <f>SUM(G28+G46+G54+G61+G76+G89+G100+G106+G112)</f>
        <v>0</v>
      </c>
      <c r="H118" s="151">
        <f>SUM(H46+H61+H112)</f>
        <v>0</v>
      </c>
      <c r="I118" s="151">
        <f>SUM(I46+I54+I61+I76+I89+I100+I106+I112)</f>
        <v>0</v>
      </c>
      <c r="J118" s="151">
        <f>SUM(J46+J54+J61+J76+J89+J100+J106+J112)</f>
        <v>0</v>
      </c>
      <c r="K118" s="151">
        <v>0</v>
      </c>
      <c r="L118" s="151">
        <f>SUM(L28+L33+L46+L54+L61+L76+L89+L100+L106+L112)</f>
        <v>0</v>
      </c>
      <c r="M118" s="151">
        <v>0</v>
      </c>
      <c r="N118" s="151">
        <f>SUM(N61)</f>
        <v>0</v>
      </c>
      <c r="O118" s="151">
        <f>SUM(O13+O22+O28+O33+O46+O54+O61+O76+O89+O100+O106+O112)</f>
        <v>0</v>
      </c>
      <c r="P118" s="151">
        <v>0</v>
      </c>
      <c r="Q118" s="151">
        <f>SUM(Q106)</f>
        <v>0</v>
      </c>
      <c r="R118" s="73">
        <f>SUM(B118:Q118)</f>
        <v>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74">
        <f>SUM(B119:Q119)</f>
        <v>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U104" sqref="U104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3" t="s">
        <v>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6.5">
      <c r="A2" s="343" t="s">
        <v>430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6.5">
      <c r="A3" s="344" t="s">
        <v>526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="124" customFormat="1" ht="14.25">
      <c r="Q4" s="192"/>
    </row>
    <row r="5" spans="1:18" s="65" customFormat="1" ht="14.25">
      <c r="A5" s="66" t="s">
        <v>116</v>
      </c>
      <c r="B5" s="345" t="s">
        <v>93</v>
      </c>
      <c r="C5" s="346" t="s">
        <v>94</v>
      </c>
      <c r="D5" s="346"/>
      <c r="E5" s="346"/>
      <c r="F5" s="88" t="s">
        <v>95</v>
      </c>
      <c r="G5" s="346" t="s">
        <v>96</v>
      </c>
      <c r="H5" s="346"/>
      <c r="I5" s="346" t="s">
        <v>97</v>
      </c>
      <c r="J5" s="346"/>
      <c r="K5" s="346" t="s">
        <v>99</v>
      </c>
      <c r="L5" s="346"/>
      <c r="M5" s="347" t="s">
        <v>400</v>
      </c>
      <c r="N5" s="348"/>
      <c r="O5" s="346" t="s">
        <v>100</v>
      </c>
      <c r="P5" s="346"/>
      <c r="Q5" s="283" t="s">
        <v>114</v>
      </c>
      <c r="R5" s="349" t="s">
        <v>19</v>
      </c>
    </row>
    <row r="6" spans="1:18" s="65" customFormat="1" ht="14.25">
      <c r="A6" s="67" t="s">
        <v>117</v>
      </c>
      <c r="B6" s="345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506</v>
      </c>
      <c r="N6" s="88" t="s">
        <v>399</v>
      </c>
      <c r="O6" s="88" t="s">
        <v>110</v>
      </c>
      <c r="P6" s="88" t="s">
        <v>111</v>
      </c>
      <c r="Q6" s="193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f>400+5752</f>
        <v>6152</v>
      </c>
      <c r="C8" s="68"/>
      <c r="D8" s="68"/>
      <c r="E8" s="68" t="s">
        <v>260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6152</v>
      </c>
    </row>
    <row r="9" spans="1:18" ht="14.25">
      <c r="A9" s="91" t="s">
        <v>264</v>
      </c>
      <c r="B9" s="71">
        <f>1500+1000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265</v>
      </c>
      <c r="B10" s="71">
        <v>46000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46000</v>
      </c>
    </row>
    <row r="11" spans="1:18" ht="14.25">
      <c r="A11" s="91" t="s">
        <v>266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267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SUM(B8:B12)</f>
        <v>54652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54652</v>
      </c>
    </row>
    <row r="14" spans="1:18" ht="15" thickBot="1">
      <c r="A14" s="92" t="s">
        <v>37</v>
      </c>
      <c r="B14" s="74">
        <f>54652</f>
        <v>54652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54652</v>
      </c>
    </row>
    <row r="15" spans="1:18" ht="15" thickTop="1">
      <c r="A15" s="93" t="s">
        <v>268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474</v>
      </c>
    </row>
    <row r="16" spans="1:18" ht="14.25">
      <c r="A16" s="91" t="s">
        <v>269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42840</v>
      </c>
    </row>
    <row r="17" spans="1:18" ht="14.25">
      <c r="A17" s="90" t="s">
        <v>270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3510</v>
      </c>
    </row>
    <row r="18" spans="1:18" ht="14.25">
      <c r="A18" s="91" t="s">
        <v>271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3510</v>
      </c>
    </row>
    <row r="19" spans="1:18" ht="14.25">
      <c r="A19" s="91" t="s">
        <v>272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7200</v>
      </c>
    </row>
    <row r="20" spans="1:18" ht="14.25">
      <c r="A20" s="90" t="s">
        <v>273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171600</v>
      </c>
    </row>
    <row r="21" spans="1:18" ht="14.25">
      <c r="A21" s="91" t="s">
        <v>274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235860</f>
        <v>235860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235860</v>
      </c>
    </row>
    <row r="24" spans="1:18" ht="15" thickTop="1">
      <c r="A24" s="90" t="s">
        <v>275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276</v>
      </c>
      <c r="B25" s="77"/>
      <c r="C25" s="77">
        <v>170400</v>
      </c>
      <c r="D25" s="77"/>
      <c r="E25" s="77">
        <v>87010</v>
      </c>
      <c r="F25" s="77"/>
      <c r="G25" s="77">
        <v>21620</v>
      </c>
      <c r="H25" s="77"/>
      <c r="I25" s="77"/>
      <c r="J25" s="77"/>
      <c r="K25" s="77">
        <v>54890</v>
      </c>
      <c r="L25" s="77"/>
      <c r="M25" s="77"/>
      <c r="N25" s="77"/>
      <c r="O25" s="77"/>
      <c r="P25" s="71"/>
      <c r="Q25" s="77"/>
      <c r="R25" s="71">
        <f>SUM(C25:Q25)</f>
        <v>333920</v>
      </c>
    </row>
    <row r="26" spans="1:18" ht="14.25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v>2000</v>
      </c>
      <c r="L26" s="77"/>
      <c r="M26" s="77"/>
      <c r="N26" s="77"/>
      <c r="O26" s="77"/>
      <c r="P26" s="71"/>
      <c r="Q26" s="77"/>
      <c r="R26" s="71">
        <f>SUM(C26:P26)</f>
        <v>2000</v>
      </c>
    </row>
    <row r="27" spans="1:18" ht="14.25">
      <c r="A27" s="90" t="s">
        <v>278</v>
      </c>
      <c r="B27" s="78"/>
      <c r="C27" s="78">
        <v>14700</v>
      </c>
      <c r="D27" s="78"/>
      <c r="E27" s="78">
        <v>3500</v>
      </c>
      <c r="F27" s="78"/>
      <c r="G27" s="78">
        <v>3500</v>
      </c>
      <c r="H27" s="78"/>
      <c r="I27" s="78"/>
      <c r="J27" s="78"/>
      <c r="K27" s="78">
        <v>3500</v>
      </c>
      <c r="L27" s="78"/>
      <c r="M27" s="78"/>
      <c r="N27" s="78"/>
      <c r="O27" s="78"/>
      <c r="P27" s="68"/>
      <c r="Q27" s="78"/>
      <c r="R27" s="68">
        <f>SUM(C27:Q27)</f>
        <v>25200</v>
      </c>
    </row>
    <row r="28" spans="1:18" ht="14.25">
      <c r="A28" s="91" t="s">
        <v>36</v>
      </c>
      <c r="B28" s="62"/>
      <c r="C28" s="80">
        <f>SUM(C25:C27)</f>
        <v>185100</v>
      </c>
      <c r="D28" s="62">
        <v>0</v>
      </c>
      <c r="E28" s="62">
        <f>SUM(E25:E27)</f>
        <v>90510</v>
      </c>
      <c r="F28" s="62">
        <v>0</v>
      </c>
      <c r="G28" s="62">
        <f>SUM(G25:G27)</f>
        <v>25120</v>
      </c>
      <c r="H28" s="62">
        <v>0</v>
      </c>
      <c r="I28" s="62">
        <v>0</v>
      </c>
      <c r="J28" s="62">
        <v>0</v>
      </c>
      <c r="K28" s="62">
        <f>SUM(K25:K27)</f>
        <v>60390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361120</v>
      </c>
    </row>
    <row r="29" spans="1:18" ht="15" thickBot="1">
      <c r="A29" s="92" t="s">
        <v>37</v>
      </c>
      <c r="B29" s="94"/>
      <c r="C29" s="81">
        <f>185100</f>
        <v>185100</v>
      </c>
      <c r="D29" s="94">
        <v>0</v>
      </c>
      <c r="E29" s="94">
        <f>90510</f>
        <v>90510</v>
      </c>
      <c r="F29" s="94">
        <v>0</v>
      </c>
      <c r="G29" s="94">
        <f>25120</f>
        <v>25120</v>
      </c>
      <c r="H29" s="94">
        <v>0</v>
      </c>
      <c r="I29" s="94">
        <v>0</v>
      </c>
      <c r="J29" s="94">
        <v>0</v>
      </c>
      <c r="K29" s="94">
        <f>60390</f>
        <v>60390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361120</v>
      </c>
    </row>
    <row r="30" spans="1:18" ht="15" thickTop="1">
      <c r="A30" s="90" t="s">
        <v>275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279</v>
      </c>
      <c r="B31" s="77"/>
      <c r="C31" s="77">
        <v>12810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12810</v>
      </c>
    </row>
    <row r="32" spans="1:18" ht="14.25">
      <c r="A32" s="90" t="s">
        <v>280</v>
      </c>
      <c r="B32" s="79"/>
      <c r="C32" s="78">
        <v>475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475</v>
      </c>
    </row>
    <row r="33" spans="1:18" ht="14.25">
      <c r="A33" s="91" t="s">
        <v>36</v>
      </c>
      <c r="B33" s="62"/>
      <c r="C33" s="80">
        <f>SUM(C31:C32)</f>
        <v>13285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13285</v>
      </c>
    </row>
    <row r="34" spans="1:18" ht="15" thickBot="1">
      <c r="A34" s="92" t="s">
        <v>37</v>
      </c>
      <c r="B34" s="94"/>
      <c r="C34" s="74">
        <f>13285</f>
        <v>13285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13285</v>
      </c>
    </row>
    <row r="35" ht="15" thickTop="1">
      <c r="C35" s="184"/>
    </row>
    <row r="41" spans="1:18" s="65" customFormat="1" ht="14.25">
      <c r="A41" s="66" t="s">
        <v>116</v>
      </c>
      <c r="B41" s="345" t="s">
        <v>93</v>
      </c>
      <c r="C41" s="346" t="s">
        <v>94</v>
      </c>
      <c r="D41" s="346"/>
      <c r="E41" s="346"/>
      <c r="F41" s="88" t="s">
        <v>95</v>
      </c>
      <c r="G41" s="346" t="s">
        <v>96</v>
      </c>
      <c r="H41" s="346"/>
      <c r="I41" s="346" t="s">
        <v>97</v>
      </c>
      <c r="J41" s="346"/>
      <c r="K41" s="346" t="s">
        <v>99</v>
      </c>
      <c r="L41" s="346"/>
      <c r="M41" s="347" t="s">
        <v>400</v>
      </c>
      <c r="N41" s="348"/>
      <c r="O41" s="346" t="s">
        <v>100</v>
      </c>
      <c r="P41" s="346"/>
      <c r="Q41" s="282" t="s">
        <v>114</v>
      </c>
      <c r="R41" s="349" t="s">
        <v>19</v>
      </c>
    </row>
    <row r="42" spans="1:18" s="65" customFormat="1" ht="14.25">
      <c r="A42" s="67" t="s">
        <v>117</v>
      </c>
      <c r="B42" s="345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108</v>
      </c>
      <c r="L42" s="88" t="s">
        <v>109</v>
      </c>
      <c r="M42" s="88" t="s">
        <v>506</v>
      </c>
      <c r="N42" s="88" t="s">
        <v>399</v>
      </c>
      <c r="O42" s="88" t="s">
        <v>110</v>
      </c>
      <c r="P42" s="88" t="s">
        <v>111</v>
      </c>
      <c r="Q42" s="193" t="s">
        <v>115</v>
      </c>
      <c r="R42" s="350"/>
    </row>
    <row r="43" spans="1:18" ht="14.25">
      <c r="A43" s="93" t="s">
        <v>275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281</v>
      </c>
      <c r="B44" s="71"/>
      <c r="C44" s="71">
        <v>29760</v>
      </c>
      <c r="D44" s="71"/>
      <c r="E44" s="71">
        <v>21150</v>
      </c>
      <c r="F44" s="71"/>
      <c r="G44" s="71">
        <v>26620</v>
      </c>
      <c r="H44" s="71">
        <v>0</v>
      </c>
      <c r="I44" s="71">
        <v>9000</v>
      </c>
      <c r="J44" s="71"/>
      <c r="K44" s="71">
        <v>19080</v>
      </c>
      <c r="L44" s="71"/>
      <c r="M44" s="71"/>
      <c r="N44" s="71"/>
      <c r="O44" s="71"/>
      <c r="P44" s="71"/>
      <c r="Q44" s="71"/>
      <c r="R44" s="71">
        <f>SUM(C44:P44)</f>
        <v>105610</v>
      </c>
    </row>
    <row r="45" spans="1:18" ht="14.25">
      <c r="A45" s="95" t="s">
        <v>282</v>
      </c>
      <c r="B45" s="68"/>
      <c r="C45" s="68">
        <v>4925</v>
      </c>
      <c r="D45" s="68"/>
      <c r="E45" s="68">
        <v>2135</v>
      </c>
      <c r="F45" s="68"/>
      <c r="G45" s="68">
        <v>1000</v>
      </c>
      <c r="H45" s="68"/>
      <c r="I45" s="68">
        <v>1000</v>
      </c>
      <c r="J45" s="68"/>
      <c r="K45" s="68">
        <v>3000</v>
      </c>
      <c r="L45" s="68"/>
      <c r="M45" s="68"/>
      <c r="N45" s="68"/>
      <c r="O45" s="68"/>
      <c r="P45" s="68"/>
      <c r="Q45" s="68"/>
      <c r="R45" s="68">
        <f>SUM(C45:P45)</f>
        <v>12060</v>
      </c>
    </row>
    <row r="46" spans="1:18" ht="14.25">
      <c r="A46" s="91" t="s">
        <v>36</v>
      </c>
      <c r="B46" s="62"/>
      <c r="C46" s="73">
        <f>SUM(C44:C45)</f>
        <v>34685</v>
      </c>
      <c r="D46" s="62">
        <v>0</v>
      </c>
      <c r="E46" s="62">
        <f>SUM(E44:E45)</f>
        <v>23285</v>
      </c>
      <c r="F46" s="62">
        <v>0</v>
      </c>
      <c r="G46" s="62">
        <f>SUM(G44:G45)</f>
        <v>27620</v>
      </c>
      <c r="H46" s="62">
        <f>SUM(H44)</f>
        <v>0</v>
      </c>
      <c r="I46" s="62">
        <f>SUM(I44:I45)</f>
        <v>10000</v>
      </c>
      <c r="J46" s="62">
        <v>0</v>
      </c>
      <c r="K46" s="62">
        <f>SUM(K44:K45)</f>
        <v>22080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117670</v>
      </c>
    </row>
    <row r="47" spans="1:18" ht="15" thickBot="1">
      <c r="A47" s="92" t="s">
        <v>37</v>
      </c>
      <c r="B47" s="94"/>
      <c r="C47" s="74">
        <f>34685</f>
        <v>34685</v>
      </c>
      <c r="D47" s="62">
        <v>0</v>
      </c>
      <c r="E47" s="62">
        <f>23285</f>
        <v>23285</v>
      </c>
      <c r="F47" s="62">
        <v>0</v>
      </c>
      <c r="G47" s="62">
        <f>27620</f>
        <v>27620</v>
      </c>
      <c r="H47" s="62">
        <v>0</v>
      </c>
      <c r="I47" s="62">
        <f>10000</f>
        <v>10000</v>
      </c>
      <c r="J47" s="62">
        <v>0</v>
      </c>
      <c r="K47" s="62">
        <f>22080</f>
        <v>22080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117670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284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0</v>
      </c>
      <c r="L49" s="77">
        <v>0</v>
      </c>
      <c r="M49" s="77"/>
      <c r="N49" s="77"/>
      <c r="O49" s="77"/>
      <c r="P49" s="71"/>
      <c r="Q49" s="77"/>
      <c r="R49" s="71">
        <f>SUM(C49:P49)</f>
        <v>0</v>
      </c>
    </row>
    <row r="50" spans="1:18" ht="14.25">
      <c r="A50" s="90" t="s">
        <v>285</v>
      </c>
      <c r="B50" s="78"/>
      <c r="C50" s="78">
        <v>0</v>
      </c>
      <c r="D50" s="78"/>
      <c r="E50" s="78">
        <v>9660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9660</v>
      </c>
    </row>
    <row r="51" spans="1:18" ht="14.25">
      <c r="A51" s="91" t="s">
        <v>286</v>
      </c>
      <c r="B51" s="77"/>
      <c r="C51" s="77">
        <f>7000+3000</f>
        <v>10000</v>
      </c>
      <c r="D51" s="77"/>
      <c r="E51" s="77">
        <f>3000</f>
        <v>3000</v>
      </c>
      <c r="F51" s="77"/>
      <c r="G51" s="77">
        <v>3000</v>
      </c>
      <c r="H51" s="77">
        <v>0</v>
      </c>
      <c r="I51" s="77"/>
      <c r="J51" s="77"/>
      <c r="K51" s="77">
        <f>7500</f>
        <v>7500</v>
      </c>
      <c r="L51" s="77"/>
      <c r="M51" s="77"/>
      <c r="N51" s="77"/>
      <c r="O51" s="77"/>
      <c r="P51" s="71"/>
      <c r="Q51" s="77"/>
      <c r="R51" s="71">
        <f>SUM(C51:Q51)</f>
        <v>23500</v>
      </c>
    </row>
    <row r="52" spans="1:18" ht="14.25">
      <c r="A52" s="91" t="s">
        <v>287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0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10000</v>
      </c>
      <c r="D54" s="62">
        <v>0</v>
      </c>
      <c r="E54" s="62">
        <f>SUM(E49:E53)</f>
        <v>12660</v>
      </c>
      <c r="F54" s="62">
        <v>0</v>
      </c>
      <c r="G54" s="62">
        <f>SUM(G49:G53)</f>
        <v>3000</v>
      </c>
      <c r="H54" s="62">
        <v>0</v>
      </c>
      <c r="I54" s="62">
        <f>SUM(I49)</f>
        <v>0</v>
      </c>
      <c r="J54" s="62">
        <v>0</v>
      </c>
      <c r="K54" s="62">
        <f>SUM(K49:K53)</f>
        <v>7500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33160</v>
      </c>
    </row>
    <row r="55" spans="1:18" ht="15" thickBot="1">
      <c r="A55" s="92" t="s">
        <v>37</v>
      </c>
      <c r="B55" s="94"/>
      <c r="C55" s="81">
        <f>10000</f>
        <v>10000</v>
      </c>
      <c r="D55" s="94">
        <v>0</v>
      </c>
      <c r="E55" s="94">
        <f>12660</f>
        <v>12660</v>
      </c>
      <c r="F55" s="94">
        <v>0</v>
      </c>
      <c r="G55" s="94">
        <f>3000</f>
        <v>3000</v>
      </c>
      <c r="H55" s="94">
        <v>0</v>
      </c>
      <c r="I55" s="94">
        <v>0</v>
      </c>
      <c r="J55" s="94">
        <v>0</v>
      </c>
      <c r="K55" s="94">
        <f>7500</f>
        <v>7500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33160</v>
      </c>
    </row>
    <row r="56" spans="1:18" ht="15" thickTop="1">
      <c r="A56" s="95" t="s">
        <v>289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290</v>
      </c>
      <c r="B57" s="216" t="s">
        <v>410</v>
      </c>
      <c r="C57" s="83">
        <f>10000+1152+800+1000</f>
        <v>12952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12952</v>
      </c>
    </row>
    <row r="58" spans="1:18" ht="14.25">
      <c r="A58" s="91" t="s">
        <v>291</v>
      </c>
      <c r="B58" s="77"/>
      <c r="C58" s="77">
        <v>0</v>
      </c>
      <c r="D58" s="77"/>
      <c r="E58" s="77" t="s">
        <v>423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292</v>
      </c>
      <c r="B59" s="77"/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v>5952</v>
      </c>
      <c r="Q59" s="77"/>
      <c r="R59" s="71">
        <f>SUM(C59:Q59)</f>
        <v>5952</v>
      </c>
    </row>
    <row r="60" spans="1:18" ht="14.25">
      <c r="A60" s="95" t="s">
        <v>293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12952</v>
      </c>
      <c r="D61" s="62">
        <f>SUM(D59:D60)</f>
        <v>0</v>
      </c>
      <c r="E61" s="62">
        <f>SUM(E59:E60)</f>
        <v>0</v>
      </c>
      <c r="F61" s="62">
        <v>0</v>
      </c>
      <c r="G61" s="62">
        <v>0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5952</v>
      </c>
      <c r="Q61" s="62"/>
      <c r="R61" s="73">
        <f>SUM(C61:P61)</f>
        <v>18904</v>
      </c>
    </row>
    <row r="62" spans="1:18" ht="15" thickBot="1">
      <c r="A62" s="92" t="s">
        <v>37</v>
      </c>
      <c r="B62" s="94"/>
      <c r="C62" s="81">
        <f>12952</f>
        <v>12952</v>
      </c>
      <c r="D62" s="94">
        <v>0</v>
      </c>
      <c r="E62" s="94">
        <f>550</f>
        <v>550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f>1500</f>
        <v>1500</v>
      </c>
      <c r="L62" s="94">
        <v>0</v>
      </c>
      <c r="M62" s="94">
        <v>0</v>
      </c>
      <c r="N62" s="94">
        <v>0</v>
      </c>
      <c r="O62" s="94">
        <v>0</v>
      </c>
      <c r="P62" s="94">
        <f>5952</f>
        <v>5952</v>
      </c>
      <c r="Q62" s="94"/>
      <c r="R62" s="74">
        <f>SUM(C62:Q62)</f>
        <v>20954</v>
      </c>
    </row>
    <row r="63" spans="1:18" ht="15" thickTop="1">
      <c r="A63" s="95" t="s">
        <v>294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295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296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297</v>
      </c>
      <c r="B66" s="77"/>
      <c r="C66" s="77"/>
      <c r="D66" s="77"/>
      <c r="E66" s="77">
        <v>0</v>
      </c>
      <c r="F66" s="77"/>
      <c r="G66" s="77">
        <v>0</v>
      </c>
      <c r="H66" s="77">
        <v>0</v>
      </c>
      <c r="I66" s="77"/>
      <c r="J66" s="77" t="s">
        <v>260</v>
      </c>
      <c r="K66" s="77"/>
      <c r="L66" s="77"/>
      <c r="M66" s="77"/>
      <c r="N66" s="77"/>
      <c r="O66" s="77"/>
      <c r="P66" s="71"/>
      <c r="Q66" s="77"/>
      <c r="R66" s="71">
        <f>SUM(C66:P66)</f>
        <v>0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301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302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0</v>
      </c>
    </row>
    <row r="72" spans="1:18" ht="14.25">
      <c r="A72" s="95" t="s">
        <v>303</v>
      </c>
      <c r="B72" s="77"/>
      <c r="C72" s="77">
        <v>3946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3946</v>
      </c>
    </row>
    <row r="73" spans="1:18" ht="14.25">
      <c r="A73" s="95" t="s">
        <v>304</v>
      </c>
      <c r="B73" s="77"/>
      <c r="C73" s="77">
        <v>13600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7850</v>
      </c>
      <c r="L73" s="77"/>
      <c r="M73" s="77"/>
      <c r="N73" s="77"/>
      <c r="O73" s="77"/>
      <c r="P73" s="71"/>
      <c r="Q73" s="77"/>
      <c r="R73" s="71">
        <f>SUM(C73:Q73)</f>
        <v>21450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17546</v>
      </c>
      <c r="D76" s="62">
        <f>SUM(D66:D75)</f>
        <v>0</v>
      </c>
      <c r="E76" s="62">
        <f>SUM(E64:E75)</f>
        <v>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7850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25396</v>
      </c>
    </row>
    <row r="77" spans="1:18" ht="15" thickBot="1">
      <c r="A77" s="92" t="s">
        <v>37</v>
      </c>
      <c r="B77" s="94"/>
      <c r="C77" s="81">
        <f>17546</f>
        <v>17546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f>7850</f>
        <v>7850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25396</v>
      </c>
    </row>
    <row r="78" ht="15" thickTop="1"/>
    <row r="81" spans="1:18" s="65" customFormat="1" ht="13.5" customHeight="1">
      <c r="A81" s="66" t="s">
        <v>116</v>
      </c>
      <c r="B81" s="345" t="s">
        <v>93</v>
      </c>
      <c r="C81" s="346" t="s">
        <v>94</v>
      </c>
      <c r="D81" s="346"/>
      <c r="E81" s="346"/>
      <c r="F81" s="88" t="s">
        <v>95</v>
      </c>
      <c r="G81" s="346" t="s">
        <v>96</v>
      </c>
      <c r="H81" s="346"/>
      <c r="I81" s="346" t="s">
        <v>97</v>
      </c>
      <c r="J81" s="346"/>
      <c r="K81" s="346" t="s">
        <v>99</v>
      </c>
      <c r="L81" s="346"/>
      <c r="M81" s="347" t="s">
        <v>400</v>
      </c>
      <c r="N81" s="348"/>
      <c r="O81" s="346" t="s">
        <v>100</v>
      </c>
      <c r="P81" s="346"/>
      <c r="Q81" s="282" t="s">
        <v>114</v>
      </c>
      <c r="R81" s="349" t="s">
        <v>19</v>
      </c>
    </row>
    <row r="82" spans="1:18" s="65" customFormat="1" ht="13.5" customHeight="1">
      <c r="A82" s="67" t="s">
        <v>117</v>
      </c>
      <c r="B82" s="345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506</v>
      </c>
      <c r="N82" s="88" t="s">
        <v>399</v>
      </c>
      <c r="O82" s="88" t="s">
        <v>110</v>
      </c>
      <c r="P82" s="88" t="s">
        <v>111</v>
      </c>
      <c r="Q82" s="193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v>12023.06</v>
      </c>
      <c r="D84" s="68"/>
      <c r="E84" s="68"/>
      <c r="F84" s="68"/>
      <c r="G84" s="68">
        <v>1832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13855.06</v>
      </c>
    </row>
    <row r="85" spans="1:18" ht="13.5" customHeight="1">
      <c r="A85" s="91" t="s">
        <v>309</v>
      </c>
      <c r="B85" s="71"/>
      <c r="C85" s="71">
        <v>0</v>
      </c>
      <c r="D85" s="71"/>
      <c r="E85" s="71"/>
      <c r="F85" s="71"/>
      <c r="G85" s="71">
        <v>0</v>
      </c>
      <c r="H85" s="71"/>
      <c r="I85" s="71" t="s">
        <v>260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310</v>
      </c>
      <c r="B86" s="71"/>
      <c r="C86" s="71">
        <v>1001.52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1429.52</v>
      </c>
    </row>
    <row r="87" spans="1:18" ht="13.5" customHeight="1">
      <c r="A87" s="90" t="s">
        <v>311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312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18363.88</v>
      </c>
      <c r="D89" s="62">
        <v>0</v>
      </c>
      <c r="E89" s="62">
        <v>0</v>
      </c>
      <c r="F89" s="62">
        <v>0</v>
      </c>
      <c r="G89" s="62">
        <f>SUM(G84:G88)</f>
        <v>3961.3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22325.18</v>
      </c>
    </row>
    <row r="90" spans="1:18" ht="13.5" customHeight="1" thickBot="1">
      <c r="A90" s="92" t="s">
        <v>37</v>
      </c>
      <c r="B90" s="62"/>
      <c r="C90" s="62">
        <f>18363.88</f>
        <v>18363.88</v>
      </c>
      <c r="D90" s="62">
        <v>0</v>
      </c>
      <c r="E90" s="62">
        <v>0</v>
      </c>
      <c r="F90" s="62">
        <v>0</v>
      </c>
      <c r="G90" s="62">
        <f>3961.3</f>
        <v>3961.3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22325.18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314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320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321</v>
      </c>
      <c r="B99" s="78"/>
      <c r="C99" s="78">
        <v>0</v>
      </c>
      <c r="D99" s="78"/>
      <c r="E99" s="78">
        <v>550</v>
      </c>
      <c r="F99" s="78"/>
      <c r="G99" s="78">
        <v>0</v>
      </c>
      <c r="H99" s="152"/>
      <c r="I99" s="78">
        <v>0</v>
      </c>
      <c r="J99" s="78"/>
      <c r="K99" s="78">
        <v>1500</v>
      </c>
      <c r="L99" s="78"/>
      <c r="M99" s="78"/>
      <c r="N99" s="78"/>
      <c r="O99" s="78"/>
      <c r="P99" s="68"/>
      <c r="Q99" s="78"/>
      <c r="R99" s="214">
        <f>SUM(C99:Q99)</f>
        <v>2050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f>SUM(E99)</f>
        <v>550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1500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2050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f>550</f>
        <v>550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f>1500</f>
        <v>1500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2050</v>
      </c>
    </row>
    <row r="102" spans="1:18" ht="13.5" customHeight="1" thickTop="1">
      <c r="A102" s="95" t="s">
        <v>322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327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328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398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v>0</v>
      </c>
    </row>
    <row r="115" spans="1:18" ht="13.5" customHeight="1" thickTop="1">
      <c r="A115" s="95" t="s">
        <v>330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331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54652</v>
      </c>
      <c r="C119" s="62">
        <f>SUM(C22+C28+C33+C46+C54+C61+C76+C89+C100+C106++C113)</f>
        <v>527791.88</v>
      </c>
      <c r="D119" s="151">
        <f>SUM(D118)</f>
        <v>0</v>
      </c>
      <c r="E119" s="151">
        <f>SUM(E22+E28+E33+E46+E54+E61+E76+E89+E100+E106+E113)</f>
        <v>127005</v>
      </c>
      <c r="F119" s="151">
        <f>SUM(F61)</f>
        <v>0</v>
      </c>
      <c r="G119" s="151">
        <f>SUM(G28+G46+G54+G61+G76+G89+G100+G106+G113)</f>
        <v>59701.3</v>
      </c>
      <c r="H119" s="151">
        <f>SUM(H46+H61+H113+H76)</f>
        <v>0</v>
      </c>
      <c r="I119" s="151">
        <f>SUM(I46+I54+I61+I76+I89+I100+I106+I113)</f>
        <v>10000</v>
      </c>
      <c r="J119" s="151">
        <f>SUM(J46+J54+J61+J76+J89+J100+J106+J113)</f>
        <v>0</v>
      </c>
      <c r="K119" s="151">
        <f>SUM(K28+K33+K46+K54+K61+K76+K89+K100+K106+K113)</f>
        <v>99320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5952</v>
      </c>
      <c r="Q119" s="151">
        <f>SUM(Q106)</f>
        <v>0</v>
      </c>
      <c r="R119" s="73">
        <f>SUM(B119:Q119)</f>
        <v>884422.18</v>
      </c>
    </row>
    <row r="120" spans="1:18" ht="13.5" customHeight="1" thickBot="1">
      <c r="A120" s="92" t="s">
        <v>37</v>
      </c>
      <c r="B120" s="74">
        <f>54652</f>
        <v>54652</v>
      </c>
      <c r="C120" s="94">
        <f>527791.88</f>
        <v>527791.88</v>
      </c>
      <c r="D120" s="94">
        <v>0</v>
      </c>
      <c r="E120" s="94">
        <f>127005</f>
        <v>127005</v>
      </c>
      <c r="F120" s="94">
        <v>0</v>
      </c>
      <c r="G120" s="94">
        <f>59701.3</f>
        <v>59701.3</v>
      </c>
      <c r="H120" s="94">
        <v>0</v>
      </c>
      <c r="I120" s="94">
        <f>10000</f>
        <v>10000</v>
      </c>
      <c r="J120" s="94">
        <v>0</v>
      </c>
      <c r="K120" s="94">
        <f>99320</f>
        <v>99320</v>
      </c>
      <c r="L120" s="94">
        <v>0</v>
      </c>
      <c r="M120" s="94">
        <v>0</v>
      </c>
      <c r="N120" s="94">
        <v>0</v>
      </c>
      <c r="O120" s="94">
        <v>0</v>
      </c>
      <c r="P120" s="94">
        <f>5952</f>
        <v>5952</v>
      </c>
      <c r="Q120" s="94">
        <v>0</v>
      </c>
      <c r="R120" s="74">
        <f>SUM(B120:Q120)</f>
        <v>884422.18</v>
      </c>
    </row>
    <row r="121" ht="15" thickTop="1"/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3" t="s">
        <v>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6.5">
      <c r="A2" s="343" t="s">
        <v>530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18" ht="16.5">
      <c r="A3" s="344" t="s">
        <v>526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="124" customFormat="1" ht="14.25">
      <c r="Q4" s="192"/>
    </row>
    <row r="5" spans="1:18" s="65" customFormat="1" ht="14.25">
      <c r="A5" s="66" t="s">
        <v>116</v>
      </c>
      <c r="B5" s="345" t="s">
        <v>93</v>
      </c>
      <c r="C5" s="346" t="s">
        <v>94</v>
      </c>
      <c r="D5" s="346"/>
      <c r="E5" s="346"/>
      <c r="F5" s="88" t="s">
        <v>95</v>
      </c>
      <c r="G5" s="346" t="s">
        <v>96</v>
      </c>
      <c r="H5" s="346"/>
      <c r="I5" s="346" t="s">
        <v>97</v>
      </c>
      <c r="J5" s="346"/>
      <c r="K5" s="346" t="s">
        <v>99</v>
      </c>
      <c r="L5" s="346"/>
      <c r="M5" s="347" t="s">
        <v>400</v>
      </c>
      <c r="N5" s="348"/>
      <c r="O5" s="346" t="s">
        <v>100</v>
      </c>
      <c r="P5" s="346"/>
      <c r="Q5" s="283" t="s">
        <v>114</v>
      </c>
      <c r="R5" s="349" t="s">
        <v>19</v>
      </c>
    </row>
    <row r="6" spans="1:18" s="65" customFormat="1" ht="14.25">
      <c r="A6" s="67" t="s">
        <v>117</v>
      </c>
      <c r="B6" s="345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506</v>
      </c>
      <c r="N6" s="88" t="s">
        <v>399</v>
      </c>
      <c r="O6" s="88" t="s">
        <v>110</v>
      </c>
      <c r="P6" s="88" t="s">
        <v>111</v>
      </c>
      <c r="Q6" s="193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v>450</v>
      </c>
      <c r="C8" s="68"/>
      <c r="D8" s="68"/>
      <c r="E8" s="68" t="s">
        <v>260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450</v>
      </c>
    </row>
    <row r="9" spans="1:18" ht="14.25">
      <c r="A9" s="91" t="s">
        <v>528</v>
      </c>
      <c r="B9" s="71">
        <v>611900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611900</v>
      </c>
    </row>
    <row r="10" spans="1:18" ht="14.25">
      <c r="A10" s="91" t="s">
        <v>529</v>
      </c>
      <c r="B10" s="71">
        <v>148000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148000</v>
      </c>
    </row>
    <row r="11" spans="1:18" ht="14.25">
      <c r="A11" s="91" t="s">
        <v>266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267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SUM(B8:B10)</f>
        <v>760350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760350</v>
      </c>
    </row>
    <row r="14" spans="1:18" ht="15" thickBot="1">
      <c r="A14" s="92" t="s">
        <v>37</v>
      </c>
      <c r="B14" s="74">
        <f>760350</f>
        <v>760350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760350</v>
      </c>
    </row>
    <row r="15" spans="1:18" ht="15" thickTop="1">
      <c r="A15" s="93" t="s">
        <v>268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474</v>
      </c>
    </row>
    <row r="16" spans="1:18" ht="14.25">
      <c r="A16" s="91" t="s">
        <v>269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0</v>
      </c>
    </row>
    <row r="17" spans="1:18" ht="14.25">
      <c r="A17" s="90" t="s">
        <v>270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0</v>
      </c>
    </row>
    <row r="18" spans="1:18" ht="14.25">
      <c r="A18" s="91" t="s">
        <v>271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0</v>
      </c>
    </row>
    <row r="19" spans="1:18" ht="14.25">
      <c r="A19" s="91" t="s">
        <v>272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0</v>
      </c>
    </row>
    <row r="20" spans="1:18" ht="14.25">
      <c r="A20" s="90" t="s">
        <v>273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0</v>
      </c>
    </row>
    <row r="21" spans="1:18" ht="14.25">
      <c r="A21" s="91" t="s">
        <v>274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f>SUM(C16:C21)</f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276</v>
      </c>
      <c r="B25" s="77"/>
      <c r="C25" s="77">
        <v>16570</v>
      </c>
      <c r="D25" s="77"/>
      <c r="E25" s="77">
        <v>0</v>
      </c>
      <c r="F25" s="77"/>
      <c r="G25" s="77">
        <v>0</v>
      </c>
      <c r="H25" s="77"/>
      <c r="I25" s="77"/>
      <c r="J25" s="77"/>
      <c r="K25" s="77">
        <v>0</v>
      </c>
      <c r="L25" s="77"/>
      <c r="M25" s="77"/>
      <c r="N25" s="77"/>
      <c r="O25" s="77"/>
      <c r="P25" s="71"/>
      <c r="Q25" s="77"/>
      <c r="R25" s="71">
        <f>SUM(C25:Q25)</f>
        <v>16570</v>
      </c>
    </row>
    <row r="26" spans="1:18" ht="14.25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v>0</v>
      </c>
      <c r="L26" s="77"/>
      <c r="M26" s="77"/>
      <c r="N26" s="77"/>
      <c r="O26" s="77"/>
      <c r="P26" s="71"/>
      <c r="Q26" s="77"/>
      <c r="R26" s="71">
        <f>SUM(C26:P26)</f>
        <v>0</v>
      </c>
    </row>
    <row r="27" spans="1:18" ht="14.25">
      <c r="A27" s="90" t="s">
        <v>278</v>
      </c>
      <c r="B27" s="78"/>
      <c r="C27" s="78">
        <v>0</v>
      </c>
      <c r="D27" s="78"/>
      <c r="E27" s="78">
        <v>0</v>
      </c>
      <c r="F27" s="78"/>
      <c r="G27" s="78">
        <v>0</v>
      </c>
      <c r="H27" s="78"/>
      <c r="I27" s="78"/>
      <c r="J27" s="78"/>
      <c r="K27" s="78">
        <v>0</v>
      </c>
      <c r="L27" s="78"/>
      <c r="M27" s="78"/>
      <c r="N27" s="78"/>
      <c r="O27" s="78"/>
      <c r="P27" s="68"/>
      <c r="Q27" s="78"/>
      <c r="R27" s="68">
        <f>SUM(C27:Q27)</f>
        <v>0</v>
      </c>
    </row>
    <row r="28" spans="1:18" ht="14.25">
      <c r="A28" s="91" t="s">
        <v>36</v>
      </c>
      <c r="B28" s="62"/>
      <c r="C28" s="80">
        <f>SUM(C25:C27)</f>
        <v>16570</v>
      </c>
      <c r="D28" s="62">
        <v>0</v>
      </c>
      <c r="E28" s="62">
        <f>SUM(E25:E27)</f>
        <v>0</v>
      </c>
      <c r="F28" s="62">
        <v>0</v>
      </c>
      <c r="G28" s="62">
        <f>SUM(G25:G27)</f>
        <v>0</v>
      </c>
      <c r="H28" s="62">
        <v>0</v>
      </c>
      <c r="I28" s="62">
        <v>0</v>
      </c>
      <c r="J28" s="62">
        <v>0</v>
      </c>
      <c r="K28" s="62">
        <f>SUM(K25:K27)</f>
        <v>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16570</v>
      </c>
    </row>
    <row r="29" spans="1:18" ht="15" thickBot="1">
      <c r="A29" s="92" t="s">
        <v>37</v>
      </c>
      <c r="B29" s="94"/>
      <c r="C29" s="81">
        <f>16570</f>
        <v>16570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16570</v>
      </c>
    </row>
    <row r="30" spans="1:18" ht="15" thickTop="1">
      <c r="A30" s="90" t="s">
        <v>275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279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0</v>
      </c>
    </row>
    <row r="32" spans="1:18" ht="14.25">
      <c r="A32" s="90" t="s">
        <v>280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f>SUM(C31:C32)</f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116</v>
      </c>
      <c r="B41" s="345" t="s">
        <v>93</v>
      </c>
      <c r="C41" s="346" t="s">
        <v>94</v>
      </c>
      <c r="D41" s="346"/>
      <c r="E41" s="346"/>
      <c r="F41" s="88" t="s">
        <v>95</v>
      </c>
      <c r="G41" s="346" t="s">
        <v>96</v>
      </c>
      <c r="H41" s="346"/>
      <c r="I41" s="346" t="s">
        <v>97</v>
      </c>
      <c r="J41" s="346"/>
      <c r="K41" s="346" t="s">
        <v>99</v>
      </c>
      <c r="L41" s="346"/>
      <c r="M41" s="347" t="s">
        <v>400</v>
      </c>
      <c r="N41" s="348"/>
      <c r="O41" s="346" t="s">
        <v>100</v>
      </c>
      <c r="P41" s="346"/>
      <c r="Q41" s="282" t="s">
        <v>114</v>
      </c>
      <c r="R41" s="349" t="s">
        <v>19</v>
      </c>
    </row>
    <row r="42" spans="1:18" s="65" customFormat="1" ht="14.25">
      <c r="A42" s="67" t="s">
        <v>117</v>
      </c>
      <c r="B42" s="345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108</v>
      </c>
      <c r="L42" s="88" t="s">
        <v>109</v>
      </c>
      <c r="M42" s="88" t="s">
        <v>506</v>
      </c>
      <c r="N42" s="88" t="s">
        <v>399</v>
      </c>
      <c r="O42" s="88" t="s">
        <v>110</v>
      </c>
      <c r="P42" s="88" t="s">
        <v>111</v>
      </c>
      <c r="Q42" s="193" t="s">
        <v>115</v>
      </c>
      <c r="R42" s="350"/>
    </row>
    <row r="43" spans="1:18" ht="14.25">
      <c r="A43" s="93" t="s">
        <v>275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281</v>
      </c>
      <c r="B44" s="71"/>
      <c r="C44" s="71">
        <v>9000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>
        <v>0</v>
      </c>
      <c r="L44" s="71"/>
      <c r="M44" s="71"/>
      <c r="N44" s="71"/>
      <c r="O44" s="71"/>
      <c r="P44" s="71"/>
      <c r="Q44" s="71"/>
      <c r="R44" s="71">
        <f>SUM(C44:P44)</f>
        <v>9000</v>
      </c>
    </row>
    <row r="45" spans="1:18" ht="14.25">
      <c r="A45" s="95" t="s">
        <v>282</v>
      </c>
      <c r="B45" s="68"/>
      <c r="C45" s="68">
        <v>0</v>
      </c>
      <c r="D45" s="68"/>
      <c r="E45" s="68">
        <v>0</v>
      </c>
      <c r="F45" s="68"/>
      <c r="G45" s="68">
        <v>0</v>
      </c>
      <c r="H45" s="68"/>
      <c r="I45" s="68">
        <v>0</v>
      </c>
      <c r="J45" s="68"/>
      <c r="K45" s="68">
        <v>0</v>
      </c>
      <c r="L45" s="68"/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f>SUM(C44:C45)</f>
        <v>9000</v>
      </c>
      <c r="D46" s="62">
        <v>0</v>
      </c>
      <c r="E46" s="62">
        <f>SUM(E44:E45)</f>
        <v>0</v>
      </c>
      <c r="F46" s="62">
        <v>0</v>
      </c>
      <c r="G46" s="62">
        <f>SUM(G44:G45)</f>
        <v>0</v>
      </c>
      <c r="H46" s="62">
        <f>SUM(H44)</f>
        <v>0</v>
      </c>
      <c r="I46" s="62">
        <f>SUM(I44:I45)</f>
        <v>0</v>
      </c>
      <c r="J46" s="62">
        <v>0</v>
      </c>
      <c r="K46" s="62">
        <f>SUM(K44:K45)</f>
        <v>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9000</v>
      </c>
    </row>
    <row r="47" spans="1:18" ht="15" thickBot="1">
      <c r="A47" s="92" t="s">
        <v>37</v>
      </c>
      <c r="B47" s="94"/>
      <c r="C47" s="74">
        <f>9000</f>
        <v>9000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9000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284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0</v>
      </c>
      <c r="L49" s="77">
        <v>0</v>
      </c>
      <c r="M49" s="77"/>
      <c r="N49" s="77"/>
      <c r="O49" s="77"/>
      <c r="P49" s="71"/>
      <c r="Q49" s="77"/>
      <c r="R49" s="71">
        <f>SUM(C49:P49)</f>
        <v>0</v>
      </c>
    </row>
    <row r="50" spans="1:18" ht="14.25">
      <c r="A50" s="90" t="s">
        <v>285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0</v>
      </c>
    </row>
    <row r="51" spans="1:18" ht="14.25">
      <c r="A51" s="91" t="s">
        <v>286</v>
      </c>
      <c r="B51" s="77"/>
      <c r="C51" s="77">
        <v>0</v>
      </c>
      <c r="D51" s="77"/>
      <c r="E51" s="77">
        <v>0</v>
      </c>
      <c r="F51" s="77"/>
      <c r="G51" s="77">
        <v>0</v>
      </c>
      <c r="H51" s="77">
        <v>0</v>
      </c>
      <c r="I51" s="77"/>
      <c r="J51" s="77"/>
      <c r="K51" s="77">
        <v>0</v>
      </c>
      <c r="L51" s="77"/>
      <c r="M51" s="77"/>
      <c r="N51" s="77"/>
      <c r="O51" s="77"/>
      <c r="P51" s="71"/>
      <c r="Q51" s="77"/>
      <c r="R51" s="71">
        <f>SUM(C51:Q51)</f>
        <v>0</v>
      </c>
    </row>
    <row r="52" spans="1:18" ht="14.25">
      <c r="A52" s="91" t="s">
        <v>287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0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0</v>
      </c>
      <c r="D54" s="62">
        <v>0</v>
      </c>
      <c r="E54" s="62">
        <f>SUM(E49:E53)</f>
        <v>0</v>
      </c>
      <c r="F54" s="62">
        <v>0</v>
      </c>
      <c r="G54" s="62">
        <f>SUM(G49:G53)</f>
        <v>0</v>
      </c>
      <c r="H54" s="62">
        <v>0</v>
      </c>
      <c r="I54" s="62">
        <f>SUM(I49)</f>
        <v>0</v>
      </c>
      <c r="J54" s="62">
        <v>0</v>
      </c>
      <c r="K54" s="62">
        <f>SUM(K49:K53)</f>
        <v>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0</v>
      </c>
    </row>
    <row r="56" spans="1:18" ht="15" thickTop="1">
      <c r="A56" s="95" t="s">
        <v>289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290</v>
      </c>
      <c r="B57" s="216" t="s">
        <v>410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0</v>
      </c>
    </row>
    <row r="58" spans="1:18" ht="14.25">
      <c r="A58" s="91" t="s">
        <v>291</v>
      </c>
      <c r="B58" s="77"/>
      <c r="C58" s="77">
        <v>0</v>
      </c>
      <c r="D58" s="77"/>
      <c r="E58" s="77" t="s">
        <v>423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292</v>
      </c>
      <c r="B59" s="77"/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v>0</v>
      </c>
      <c r="Q59" s="77"/>
      <c r="R59" s="71">
        <f>SUM(C59:Q59)</f>
        <v>0</v>
      </c>
    </row>
    <row r="60" spans="1:18" ht="14.25">
      <c r="A60" s="95" t="s">
        <v>293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0</v>
      </c>
      <c r="D61" s="62">
        <f>SUM(D59:D60)</f>
        <v>0</v>
      </c>
      <c r="E61" s="62">
        <f>SUM(E59:E60)</f>
        <v>0</v>
      </c>
      <c r="F61" s="62">
        <v>0</v>
      </c>
      <c r="G61" s="62">
        <v>0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295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296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297</v>
      </c>
      <c r="B66" s="77"/>
      <c r="C66" s="77"/>
      <c r="D66" s="77"/>
      <c r="E66" s="77">
        <v>0</v>
      </c>
      <c r="F66" s="77"/>
      <c r="G66" s="77">
        <v>0</v>
      </c>
      <c r="H66" s="77">
        <v>0</v>
      </c>
      <c r="I66" s="77"/>
      <c r="J66" s="77" t="s">
        <v>260</v>
      </c>
      <c r="K66" s="77"/>
      <c r="L66" s="77"/>
      <c r="M66" s="77"/>
      <c r="N66" s="77"/>
      <c r="O66" s="77"/>
      <c r="P66" s="71"/>
      <c r="Q66" s="77"/>
      <c r="R66" s="71">
        <f>SUM(C66:P66)</f>
        <v>0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301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302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0</v>
      </c>
    </row>
    <row r="72" spans="1:18" ht="14.25">
      <c r="A72" s="95" t="s">
        <v>303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0</v>
      </c>
    </row>
    <row r="73" spans="1:18" ht="14.25">
      <c r="A73" s="95" t="s">
        <v>304</v>
      </c>
      <c r="B73" s="77"/>
      <c r="C73" s="77">
        <v>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0</v>
      </c>
      <c r="L73" s="77"/>
      <c r="M73" s="77"/>
      <c r="N73" s="77"/>
      <c r="O73" s="77"/>
      <c r="P73" s="71"/>
      <c r="Q73" s="77"/>
      <c r="R73" s="71">
        <f>SUM(C73:Q73)</f>
        <v>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45" t="s">
        <v>93</v>
      </c>
      <c r="C81" s="346" t="s">
        <v>94</v>
      </c>
      <c r="D81" s="346"/>
      <c r="E81" s="346"/>
      <c r="F81" s="88" t="s">
        <v>95</v>
      </c>
      <c r="G81" s="346" t="s">
        <v>96</v>
      </c>
      <c r="H81" s="346"/>
      <c r="I81" s="346" t="s">
        <v>97</v>
      </c>
      <c r="J81" s="346"/>
      <c r="K81" s="346" t="s">
        <v>99</v>
      </c>
      <c r="L81" s="346"/>
      <c r="M81" s="347" t="s">
        <v>400</v>
      </c>
      <c r="N81" s="348"/>
      <c r="O81" s="346" t="s">
        <v>100</v>
      </c>
      <c r="P81" s="346"/>
      <c r="Q81" s="282" t="s">
        <v>114</v>
      </c>
      <c r="R81" s="349" t="s">
        <v>19</v>
      </c>
    </row>
    <row r="82" spans="1:18" s="65" customFormat="1" ht="13.5" customHeight="1">
      <c r="A82" s="67" t="s">
        <v>117</v>
      </c>
      <c r="B82" s="345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506</v>
      </c>
      <c r="N82" s="88" t="s">
        <v>399</v>
      </c>
      <c r="O82" s="88" t="s">
        <v>110</v>
      </c>
      <c r="P82" s="88" t="s">
        <v>111</v>
      </c>
      <c r="Q82" s="193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309</v>
      </c>
      <c r="B85" s="71"/>
      <c r="C85" s="71">
        <v>0</v>
      </c>
      <c r="D85" s="71"/>
      <c r="E85" s="71"/>
      <c r="F85" s="71"/>
      <c r="G85" s="71">
        <v>0</v>
      </c>
      <c r="H85" s="71"/>
      <c r="I85" s="71" t="s">
        <v>260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310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311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312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f>SUM(C84:C88)</f>
        <v>0</v>
      </c>
      <c r="D89" s="62">
        <v>0</v>
      </c>
      <c r="E89" s="62">
        <v>0</v>
      </c>
      <c r="F89" s="62">
        <v>0</v>
      </c>
      <c r="G89" s="62">
        <f>SUM(G84:G88)</f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314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320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321</v>
      </c>
      <c r="B99" s="78"/>
      <c r="C99" s="78">
        <v>0</v>
      </c>
      <c r="D99" s="78"/>
      <c r="E99" s="78"/>
      <c r="F99" s="78"/>
      <c r="G99" s="78">
        <v>0</v>
      </c>
      <c r="H99" s="152"/>
      <c r="I99" s="78">
        <v>0</v>
      </c>
      <c r="J99" s="78"/>
      <c r="K99" s="78">
        <v>0</v>
      </c>
      <c r="L99" s="78"/>
      <c r="M99" s="78"/>
      <c r="N99" s="78"/>
      <c r="O99" s="78"/>
      <c r="P99" s="68"/>
      <c r="Q99" s="78"/>
      <c r="R99" s="214">
        <f>SUM(C99+I99)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327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328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398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v>0</v>
      </c>
    </row>
    <row r="115" spans="1:18" ht="13.5" customHeight="1" thickTop="1">
      <c r="A115" s="95" t="s">
        <v>330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331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760350</v>
      </c>
      <c r="C119" s="62">
        <f>SUM(C22+C28+C33+C46+C54+C61+C76+C89+C100+C106++C113)</f>
        <v>25570</v>
      </c>
      <c r="D119" s="151">
        <f>SUM(D118)</f>
        <v>0</v>
      </c>
      <c r="E119" s="151">
        <f>SUM(E22+E28+E33+E46+E54+E61+E76+E89+E100+E106+E113)</f>
        <v>0</v>
      </c>
      <c r="F119" s="151">
        <f>SUM(F61)</f>
        <v>0</v>
      </c>
      <c r="G119" s="151">
        <f>SUM(G28+G46+G54+G61+G76+G89+G100+G106+G113)</f>
        <v>0</v>
      </c>
      <c r="H119" s="151">
        <f>SUM(H46+H61+H113+H76)</f>
        <v>0</v>
      </c>
      <c r="I119" s="151">
        <f>SUM(I46+I54+I61+I76+I89+I100+I106+I113)</f>
        <v>0</v>
      </c>
      <c r="J119" s="151">
        <f>SUM(J46+J54+J61+J76+J89+J100+J106+J113)</f>
        <v>0</v>
      </c>
      <c r="K119" s="151">
        <f>SUM(K28+K33+K46+K54+K61+K76+K89+K100+K106+K113)</f>
        <v>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0</v>
      </c>
      <c r="Q119" s="151">
        <f>SUM(Q106)</f>
        <v>0</v>
      </c>
      <c r="R119" s="73">
        <f>SUM(B119:Q119)</f>
        <v>785920</v>
      </c>
    </row>
    <row r="120" spans="1:18" ht="13.5" customHeight="1" thickBot="1">
      <c r="A120" s="92" t="s">
        <v>37</v>
      </c>
      <c r="B120" s="74">
        <f>760350</f>
        <v>760350</v>
      </c>
      <c r="C120" s="94">
        <f>25570</f>
        <v>25570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74">
        <f>SUM(B120:Q120)</f>
        <v>785920</v>
      </c>
    </row>
    <row r="121" ht="15" thickTop="1"/>
  </sheetData>
  <sheetProtection/>
  <mergeCells count="27">
    <mergeCell ref="O81:P81"/>
    <mergeCell ref="R81:R82"/>
    <mergeCell ref="B81:B82"/>
    <mergeCell ref="C81:E81"/>
    <mergeCell ref="G81:H81"/>
    <mergeCell ref="I81:J81"/>
    <mergeCell ref="K81:L81"/>
    <mergeCell ref="M81:N81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D4" sqref="D4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79" customWidth="1"/>
    <col min="4" max="4" width="45.8515625" style="23" customWidth="1"/>
    <col min="5" max="5" width="15.8515625" style="180" customWidth="1"/>
    <col min="6" max="16384" width="9.140625" style="23" customWidth="1"/>
  </cols>
  <sheetData>
    <row r="1" spans="1:5" ht="21">
      <c r="A1" s="293" t="s">
        <v>510</v>
      </c>
      <c r="B1" s="293"/>
      <c r="C1" s="293"/>
      <c r="D1" s="293"/>
      <c r="E1" s="293"/>
    </row>
    <row r="2" spans="1:5" ht="21">
      <c r="A2" s="293" t="s">
        <v>255</v>
      </c>
      <c r="B2" s="293"/>
      <c r="C2" s="293"/>
      <c r="D2" s="293"/>
      <c r="E2" s="293"/>
    </row>
    <row r="3" spans="1:8" ht="21">
      <c r="A3" s="172" t="s">
        <v>137</v>
      </c>
      <c r="B3" s="172" t="s">
        <v>138</v>
      </c>
      <c r="C3" s="173" t="s">
        <v>139</v>
      </c>
      <c r="D3" s="172" t="s">
        <v>140</v>
      </c>
      <c r="E3" s="174" t="s">
        <v>141</v>
      </c>
      <c r="H3" s="23" t="s">
        <v>405</v>
      </c>
    </row>
    <row r="4" spans="1:5" ht="21">
      <c r="A4" s="175">
        <v>1</v>
      </c>
      <c r="B4" s="203">
        <v>21199</v>
      </c>
      <c r="C4" s="176" t="s">
        <v>416</v>
      </c>
      <c r="D4" s="175" t="s">
        <v>417</v>
      </c>
      <c r="E4" s="177">
        <v>50000</v>
      </c>
    </row>
    <row r="5" spans="1:5" ht="21">
      <c r="A5" s="175">
        <v>2</v>
      </c>
      <c r="B5" s="203">
        <v>21204</v>
      </c>
      <c r="C5" s="176" t="s">
        <v>418</v>
      </c>
      <c r="D5" s="175" t="s">
        <v>419</v>
      </c>
      <c r="E5" s="177">
        <v>50000</v>
      </c>
    </row>
    <row r="6" spans="1:5" ht="21">
      <c r="A6" s="175">
        <v>3</v>
      </c>
      <c r="B6" s="203">
        <v>21449</v>
      </c>
      <c r="C6" s="176" t="s">
        <v>481</v>
      </c>
      <c r="D6" s="175" t="s">
        <v>223</v>
      </c>
      <c r="E6" s="177">
        <v>16000</v>
      </c>
    </row>
    <row r="7" spans="1:5" ht="21">
      <c r="A7" s="175">
        <v>4</v>
      </c>
      <c r="B7" s="203">
        <v>21517</v>
      </c>
      <c r="C7" s="176" t="s">
        <v>409</v>
      </c>
      <c r="D7" s="175" t="s">
        <v>224</v>
      </c>
      <c r="E7" s="177">
        <v>40000</v>
      </c>
    </row>
    <row r="8" spans="1:5" ht="21">
      <c r="A8" s="175">
        <v>5</v>
      </c>
      <c r="B8" s="203">
        <v>21449</v>
      </c>
      <c r="C8" s="176" t="s">
        <v>481</v>
      </c>
      <c r="D8" s="175" t="s">
        <v>225</v>
      </c>
      <c r="E8" s="177">
        <v>44000</v>
      </c>
    </row>
    <row r="9" spans="1:5" ht="21">
      <c r="A9" s="175">
        <v>6</v>
      </c>
      <c r="B9" s="203">
        <v>21183</v>
      </c>
      <c r="C9" s="176" t="s">
        <v>412</v>
      </c>
      <c r="D9" s="175" t="s">
        <v>226</v>
      </c>
      <c r="E9" s="177">
        <v>76000</v>
      </c>
    </row>
    <row r="10" spans="1:5" ht="21">
      <c r="A10" s="175">
        <v>7</v>
      </c>
      <c r="B10" s="203">
        <v>21478</v>
      </c>
      <c r="C10" s="176" t="s">
        <v>517</v>
      </c>
      <c r="D10" s="175" t="s">
        <v>374</v>
      </c>
      <c r="E10" s="177">
        <v>24000</v>
      </c>
    </row>
    <row r="11" spans="1:5" ht="21">
      <c r="A11" s="175">
        <v>8</v>
      </c>
      <c r="B11" s="203">
        <v>21465</v>
      </c>
      <c r="C11" s="176" t="s">
        <v>519</v>
      </c>
      <c r="D11" s="175" t="s">
        <v>520</v>
      </c>
      <c r="E11" s="177">
        <v>30000</v>
      </c>
    </row>
    <row r="12" spans="1:5" ht="21">
      <c r="A12" s="175">
        <v>8</v>
      </c>
      <c r="B12" s="203">
        <v>240493</v>
      </c>
      <c r="C12" s="176" t="s">
        <v>467</v>
      </c>
      <c r="D12" s="175" t="s">
        <v>227</v>
      </c>
      <c r="E12" s="177">
        <v>30000</v>
      </c>
    </row>
    <row r="13" spans="1:5" ht="21">
      <c r="A13" s="175">
        <v>9</v>
      </c>
      <c r="B13" s="203">
        <v>21442</v>
      </c>
      <c r="C13" s="176" t="s">
        <v>482</v>
      </c>
      <c r="D13" s="175" t="s">
        <v>483</v>
      </c>
      <c r="E13" s="177">
        <v>40000</v>
      </c>
    </row>
    <row r="14" spans="1:5" ht="21">
      <c r="A14" s="175">
        <v>10</v>
      </c>
      <c r="B14" s="203">
        <v>21144</v>
      </c>
      <c r="C14" s="176" t="s">
        <v>408</v>
      </c>
      <c r="D14" s="175" t="s">
        <v>228</v>
      </c>
      <c r="E14" s="177">
        <v>100000</v>
      </c>
    </row>
    <row r="15" spans="1:5" ht="21">
      <c r="A15" s="175">
        <v>11</v>
      </c>
      <c r="B15" s="203">
        <v>20871</v>
      </c>
      <c r="C15" s="176" t="s">
        <v>369</v>
      </c>
      <c r="D15" s="175" t="s">
        <v>229</v>
      </c>
      <c r="E15" s="177">
        <v>40000</v>
      </c>
    </row>
    <row r="16" spans="1:5" ht="21">
      <c r="A16" s="175">
        <v>12</v>
      </c>
      <c r="B16" s="203">
        <v>240147</v>
      </c>
      <c r="C16" s="176" t="s">
        <v>370</v>
      </c>
      <c r="D16" s="175" t="s">
        <v>230</v>
      </c>
      <c r="E16" s="177">
        <v>39000</v>
      </c>
    </row>
    <row r="17" spans="1:5" ht="21">
      <c r="A17" s="175">
        <v>13</v>
      </c>
      <c r="B17" s="203">
        <v>21201</v>
      </c>
      <c r="C17" s="176" t="s">
        <v>420</v>
      </c>
      <c r="D17" s="175" t="s">
        <v>231</v>
      </c>
      <c r="E17" s="177">
        <v>70000</v>
      </c>
    </row>
    <row r="18" spans="1:5" ht="21">
      <c r="A18" s="175">
        <v>14</v>
      </c>
      <c r="B18" s="203">
        <v>21431</v>
      </c>
      <c r="C18" s="176" t="s">
        <v>516</v>
      </c>
      <c r="D18" s="175" t="s">
        <v>484</v>
      </c>
      <c r="E18" s="177">
        <v>30000</v>
      </c>
    </row>
    <row r="19" spans="1:5" ht="21">
      <c r="A19" s="175">
        <v>15</v>
      </c>
      <c r="B19" s="203">
        <v>21470</v>
      </c>
      <c r="C19" s="176" t="s">
        <v>518</v>
      </c>
      <c r="D19" s="175" t="s">
        <v>371</v>
      </c>
      <c r="E19" s="177">
        <v>100000</v>
      </c>
    </row>
    <row r="20" spans="1:5" ht="21">
      <c r="A20" s="175">
        <v>16</v>
      </c>
      <c r="B20" s="203">
        <v>21424</v>
      </c>
      <c r="C20" s="176" t="s">
        <v>522</v>
      </c>
      <c r="D20" s="175" t="s">
        <v>258</v>
      </c>
      <c r="E20" s="177">
        <v>47000</v>
      </c>
    </row>
    <row r="21" spans="1:5" ht="21">
      <c r="A21" s="175">
        <v>17</v>
      </c>
      <c r="B21" s="203">
        <v>21206</v>
      </c>
      <c r="C21" s="176" t="s">
        <v>421</v>
      </c>
      <c r="D21" s="175" t="s">
        <v>422</v>
      </c>
      <c r="E21" s="177">
        <v>13000</v>
      </c>
    </row>
    <row r="22" spans="1:5" ht="21">
      <c r="A22" s="175">
        <v>18</v>
      </c>
      <c r="B22" s="203">
        <v>237770</v>
      </c>
      <c r="C22" s="176" t="s">
        <v>232</v>
      </c>
      <c r="D22" s="175" t="s">
        <v>233</v>
      </c>
      <c r="E22" s="177">
        <v>13780</v>
      </c>
    </row>
    <row r="23" spans="1:5" ht="21">
      <c r="A23" s="175">
        <v>19</v>
      </c>
      <c r="B23" s="203">
        <v>237770</v>
      </c>
      <c r="C23" s="176" t="s">
        <v>175</v>
      </c>
      <c r="D23" s="175" t="s">
        <v>234</v>
      </c>
      <c r="E23" s="177">
        <v>8780</v>
      </c>
    </row>
    <row r="24" spans="1:5" ht="21">
      <c r="A24" s="175">
        <v>20</v>
      </c>
      <c r="B24" s="203">
        <v>21225</v>
      </c>
      <c r="C24" s="176" t="s">
        <v>427</v>
      </c>
      <c r="D24" s="175" t="s">
        <v>428</v>
      </c>
      <c r="E24" s="177">
        <v>60000</v>
      </c>
    </row>
    <row r="25" spans="1:5" ht="21">
      <c r="A25" s="175">
        <v>21</v>
      </c>
      <c r="B25" s="203">
        <v>21183</v>
      </c>
      <c r="C25" s="176" t="s">
        <v>411</v>
      </c>
      <c r="D25" s="175" t="s">
        <v>521</v>
      </c>
      <c r="E25" s="177">
        <v>20000</v>
      </c>
    </row>
    <row r="26" spans="1:5" ht="21">
      <c r="A26" s="175">
        <v>22</v>
      </c>
      <c r="B26" s="203">
        <v>21115</v>
      </c>
      <c r="C26" s="176" t="s">
        <v>375</v>
      </c>
      <c r="D26" s="175" t="s">
        <v>376</v>
      </c>
      <c r="E26" s="177">
        <v>24000</v>
      </c>
    </row>
    <row r="27" spans="1:5" ht="21">
      <c r="A27" s="175">
        <v>23</v>
      </c>
      <c r="B27" s="203">
        <v>21129</v>
      </c>
      <c r="C27" s="176" t="s">
        <v>406</v>
      </c>
      <c r="D27" s="175" t="s">
        <v>407</v>
      </c>
      <c r="E27" s="177">
        <v>26000</v>
      </c>
    </row>
    <row r="28" spans="1:5" ht="21">
      <c r="A28" s="175"/>
      <c r="B28" s="203"/>
      <c r="C28" s="176"/>
      <c r="D28" s="175"/>
      <c r="E28" s="177"/>
    </row>
    <row r="29" spans="1:5" ht="21">
      <c r="A29" s="292" t="s">
        <v>19</v>
      </c>
      <c r="B29" s="292"/>
      <c r="C29" s="292"/>
      <c r="D29" s="292"/>
      <c r="E29" s="178">
        <f>SUM(E4:E28)</f>
        <v>991560</v>
      </c>
    </row>
    <row r="30" ht="21">
      <c r="E30" s="180" t="s">
        <v>260</v>
      </c>
    </row>
    <row r="32" spans="1:6" ht="21">
      <c r="A32" s="294" t="s">
        <v>259</v>
      </c>
      <c r="B32" s="294"/>
      <c r="C32" s="294"/>
      <c r="D32" s="294"/>
      <c r="E32" s="294"/>
      <c r="F32" s="181"/>
    </row>
    <row r="33" spans="1:6" ht="21">
      <c r="A33" s="291" t="s">
        <v>221</v>
      </c>
      <c r="B33" s="291"/>
      <c r="C33" s="291"/>
      <c r="D33" s="291"/>
      <c r="E33" s="291"/>
      <c r="F33" s="291"/>
    </row>
    <row r="34" spans="1:6" ht="21">
      <c r="A34" s="291" t="s">
        <v>222</v>
      </c>
      <c r="B34" s="291"/>
      <c r="C34" s="291"/>
      <c r="D34" s="291"/>
      <c r="E34" s="291"/>
      <c r="F34" s="291"/>
    </row>
    <row r="36" ht="21">
      <c r="I36" s="23" t="s">
        <v>415</v>
      </c>
    </row>
    <row r="49" ht="21">
      <c r="E49" s="180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7">
      <selection activeCell="J10" sqref="J10"/>
    </sheetView>
  </sheetViews>
  <sheetFormatPr defaultColWidth="9.140625" defaultRowHeight="12.75"/>
  <cols>
    <col min="1" max="1" width="9.140625" style="127" customWidth="1"/>
    <col min="2" max="2" width="35.00390625" style="127" customWidth="1"/>
    <col min="3" max="3" width="17.421875" style="127" customWidth="1"/>
    <col min="4" max="4" width="12.421875" style="127" customWidth="1"/>
    <col min="5" max="16384" width="9.140625" style="127" customWidth="1"/>
  </cols>
  <sheetData>
    <row r="1" spans="1:5" ht="23.25">
      <c r="A1" s="295" t="s">
        <v>511</v>
      </c>
      <c r="B1" s="295"/>
      <c r="C1" s="295"/>
      <c r="D1" s="295"/>
      <c r="E1" s="35"/>
    </row>
    <row r="2" spans="1:5" ht="23.25">
      <c r="A2" s="295" t="s">
        <v>253</v>
      </c>
      <c r="B2" s="295"/>
      <c r="C2" s="295"/>
      <c r="D2" s="295"/>
      <c r="E2" s="35"/>
    </row>
    <row r="3" spans="1:4" ht="23.25">
      <c r="A3" s="295" t="s">
        <v>235</v>
      </c>
      <c r="B3" s="295"/>
      <c r="C3" s="295"/>
      <c r="D3" s="295"/>
    </row>
    <row r="5" spans="1:4" ht="23.25">
      <c r="A5" s="128" t="s">
        <v>137</v>
      </c>
      <c r="B5" s="128" t="s">
        <v>24</v>
      </c>
      <c r="C5" s="128" t="s">
        <v>70</v>
      </c>
      <c r="D5" s="128" t="s">
        <v>236</v>
      </c>
    </row>
    <row r="6" spans="1:4" ht="23.25">
      <c r="A6" s="140">
        <v>1</v>
      </c>
      <c r="B6" s="141" t="s">
        <v>237</v>
      </c>
      <c r="C6" s="142">
        <v>100000</v>
      </c>
      <c r="D6" s="141"/>
    </row>
    <row r="7" spans="1:4" ht="23.25">
      <c r="A7" s="143">
        <v>2</v>
      </c>
      <c r="B7" s="144" t="s">
        <v>238</v>
      </c>
      <c r="C7" s="145">
        <v>100000</v>
      </c>
      <c r="D7" s="144"/>
    </row>
    <row r="8" spans="1:4" ht="23.25">
      <c r="A8" s="143">
        <v>3</v>
      </c>
      <c r="B8" s="144" t="s">
        <v>239</v>
      </c>
      <c r="C8" s="145">
        <v>100000</v>
      </c>
      <c r="D8" s="144"/>
    </row>
    <row r="9" spans="1:4" ht="23.25">
      <c r="A9" s="143">
        <v>4</v>
      </c>
      <c r="B9" s="144" t="s">
        <v>240</v>
      </c>
      <c r="C9" s="145">
        <v>100000</v>
      </c>
      <c r="D9" s="144"/>
    </row>
    <row r="10" spans="1:4" ht="23.25">
      <c r="A10" s="143">
        <v>5</v>
      </c>
      <c r="B10" s="144" t="s">
        <v>241</v>
      </c>
      <c r="C10" s="145">
        <v>100000</v>
      </c>
      <c r="D10" s="144"/>
    </row>
    <row r="11" spans="1:4" ht="23.25">
      <c r="A11" s="143">
        <v>6</v>
      </c>
      <c r="B11" s="144" t="s">
        <v>242</v>
      </c>
      <c r="C11" s="145">
        <v>100000</v>
      </c>
      <c r="D11" s="144"/>
    </row>
    <row r="12" spans="1:4" ht="23.25">
      <c r="A12" s="143">
        <v>7</v>
      </c>
      <c r="B12" s="144" t="s">
        <v>243</v>
      </c>
      <c r="C12" s="145">
        <v>100000</v>
      </c>
      <c r="D12" s="144"/>
    </row>
    <row r="13" spans="1:4" ht="23.25">
      <c r="A13" s="143">
        <v>8</v>
      </c>
      <c r="B13" s="144" t="s">
        <v>244</v>
      </c>
      <c r="C13" s="145">
        <v>100000</v>
      </c>
      <c r="D13" s="144"/>
    </row>
    <row r="14" spans="1:4" ht="23.25">
      <c r="A14" s="143">
        <v>9</v>
      </c>
      <c r="B14" s="144" t="s">
        <v>245</v>
      </c>
      <c r="C14" s="145">
        <v>100000</v>
      </c>
      <c r="D14" s="144"/>
    </row>
    <row r="15" spans="1:4" ht="23.25">
      <c r="A15" s="143">
        <v>10</v>
      </c>
      <c r="B15" s="144" t="s">
        <v>246</v>
      </c>
      <c r="C15" s="145">
        <v>100000</v>
      </c>
      <c r="D15" s="144"/>
    </row>
    <row r="16" spans="1:4" ht="23.25">
      <c r="A16" s="146">
        <v>11</v>
      </c>
      <c r="B16" s="147" t="s">
        <v>247</v>
      </c>
      <c r="C16" s="148">
        <v>100000</v>
      </c>
      <c r="D16" s="147"/>
    </row>
    <row r="17" spans="3:4" ht="24" thickBot="1">
      <c r="C17" s="149">
        <f>SUM(C6:C16)</f>
        <v>1100000</v>
      </c>
      <c r="D17" s="150"/>
    </row>
    <row r="18" ht="24" thickTop="1"/>
    <row r="20" spans="1:4" ht="23.25">
      <c r="A20" s="127" t="s">
        <v>248</v>
      </c>
      <c r="D20" s="127" t="s">
        <v>249</v>
      </c>
    </row>
    <row r="21" spans="1:3" ht="23.25">
      <c r="A21" s="127" t="s">
        <v>250</v>
      </c>
      <c r="C21" s="127" t="s">
        <v>254</v>
      </c>
    </row>
    <row r="22" spans="1:3" ht="23.25">
      <c r="A22" s="127" t="s">
        <v>251</v>
      </c>
      <c r="C22" s="127" t="s">
        <v>252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34">
      <selection activeCell="A2" sqref="A2:F2"/>
    </sheetView>
  </sheetViews>
  <sheetFormatPr defaultColWidth="9.140625" defaultRowHeight="12.75"/>
  <cols>
    <col min="1" max="1" width="6.421875" style="127" customWidth="1"/>
    <col min="2" max="2" width="11.140625" style="127" customWidth="1"/>
    <col min="3" max="3" width="11.57421875" style="137" customWidth="1"/>
    <col min="4" max="4" width="43.00390625" style="127" customWidth="1"/>
    <col min="5" max="5" width="14.00390625" style="126" customWidth="1"/>
    <col min="6" max="6" width="10.28125" style="126" bestFit="1" customWidth="1"/>
    <col min="7" max="16384" width="9.140625" style="127" customWidth="1"/>
  </cols>
  <sheetData>
    <row r="1" spans="1:6" ht="23.25">
      <c r="A1" s="295" t="s">
        <v>511</v>
      </c>
      <c r="B1" s="295"/>
      <c r="C1" s="295"/>
      <c r="D1" s="295"/>
      <c r="E1" s="295"/>
      <c r="F1" s="295"/>
    </row>
    <row r="2" spans="1:6" ht="23.25">
      <c r="A2" s="295" t="s">
        <v>366</v>
      </c>
      <c r="B2" s="295"/>
      <c r="C2" s="295"/>
      <c r="D2" s="295"/>
      <c r="E2" s="295"/>
      <c r="F2" s="295"/>
    </row>
    <row r="3" spans="1:6" ht="23.25">
      <c r="A3" s="297" t="s">
        <v>256</v>
      </c>
      <c r="B3" s="297"/>
      <c r="C3" s="297"/>
      <c r="D3" s="297"/>
      <c r="E3" s="297"/>
      <c r="F3" s="297"/>
    </row>
    <row r="4" spans="1:6" ht="23.25">
      <c r="A4" s="128" t="s">
        <v>137</v>
      </c>
      <c r="B4" s="128" t="s">
        <v>138</v>
      </c>
      <c r="C4" s="129" t="s">
        <v>139</v>
      </c>
      <c r="D4" s="128" t="s">
        <v>140</v>
      </c>
      <c r="E4" s="130" t="s">
        <v>141</v>
      </c>
      <c r="F4" s="130" t="s">
        <v>142</v>
      </c>
    </row>
    <row r="5" spans="1:6" ht="23.25">
      <c r="A5" s="131">
        <v>1</v>
      </c>
      <c r="B5" s="132">
        <v>16233</v>
      </c>
      <c r="C5" s="133" t="s">
        <v>143</v>
      </c>
      <c r="D5" s="131" t="s">
        <v>429</v>
      </c>
      <c r="E5" s="134">
        <v>47300</v>
      </c>
      <c r="F5" s="134">
        <v>238</v>
      </c>
    </row>
    <row r="6" spans="1:6" ht="23.25">
      <c r="A6" s="131">
        <v>2</v>
      </c>
      <c r="B6" s="132">
        <v>16233</v>
      </c>
      <c r="C6" s="133" t="s">
        <v>144</v>
      </c>
      <c r="D6" s="131" t="s">
        <v>145</v>
      </c>
      <c r="E6" s="134">
        <v>100000</v>
      </c>
      <c r="F6" s="134">
        <v>250</v>
      </c>
    </row>
    <row r="7" spans="1:6" ht="23.25">
      <c r="A7" s="131">
        <v>3</v>
      </c>
      <c r="B7" s="132">
        <v>17025</v>
      </c>
      <c r="C7" s="133" t="s">
        <v>146</v>
      </c>
      <c r="D7" s="131" t="s">
        <v>147</v>
      </c>
      <c r="E7" s="134">
        <v>40000</v>
      </c>
      <c r="F7" s="134">
        <v>338</v>
      </c>
    </row>
    <row r="8" spans="1:6" ht="23.25">
      <c r="A8" s="131">
        <v>4</v>
      </c>
      <c r="B8" s="132">
        <v>17025</v>
      </c>
      <c r="C8" s="133" t="s">
        <v>148</v>
      </c>
      <c r="D8" s="131" t="s">
        <v>149</v>
      </c>
      <c r="E8" s="134">
        <v>40000</v>
      </c>
      <c r="F8" s="134">
        <v>163</v>
      </c>
    </row>
    <row r="9" spans="1:6" ht="23.25">
      <c r="A9" s="131">
        <v>5</v>
      </c>
      <c r="B9" s="132">
        <v>17165</v>
      </c>
      <c r="C9" s="133" t="s">
        <v>150</v>
      </c>
      <c r="D9" s="131" t="s">
        <v>151</v>
      </c>
      <c r="E9" s="134">
        <v>60000</v>
      </c>
      <c r="F9" s="134">
        <v>5250</v>
      </c>
    </row>
    <row r="10" spans="1:6" ht="23.25">
      <c r="A10" s="131">
        <v>6</v>
      </c>
      <c r="B10" s="132">
        <v>17430</v>
      </c>
      <c r="C10" s="133" t="s">
        <v>152</v>
      </c>
      <c r="D10" s="131" t="s">
        <v>153</v>
      </c>
      <c r="E10" s="134">
        <v>30000</v>
      </c>
      <c r="F10" s="134">
        <v>375</v>
      </c>
    </row>
    <row r="11" spans="1:6" ht="23.25">
      <c r="A11" s="131">
        <v>7</v>
      </c>
      <c r="B11" s="132">
        <v>17430</v>
      </c>
      <c r="C11" s="133" t="s">
        <v>154</v>
      </c>
      <c r="D11" s="131" t="s">
        <v>155</v>
      </c>
      <c r="E11" s="134">
        <v>30000</v>
      </c>
      <c r="F11" s="134">
        <v>188</v>
      </c>
    </row>
    <row r="12" spans="1:6" ht="23.25">
      <c r="A12" s="131">
        <v>8</v>
      </c>
      <c r="B12" s="132">
        <v>17430</v>
      </c>
      <c r="C12" s="133" t="s">
        <v>156</v>
      </c>
      <c r="D12" s="131" t="s">
        <v>157</v>
      </c>
      <c r="E12" s="134">
        <v>20000</v>
      </c>
      <c r="F12" s="134">
        <v>250</v>
      </c>
    </row>
    <row r="13" spans="1:6" ht="23.25">
      <c r="A13" s="131">
        <v>9</v>
      </c>
      <c r="B13" s="132">
        <v>17508</v>
      </c>
      <c r="C13" s="133" t="s">
        <v>158</v>
      </c>
      <c r="D13" s="131" t="s">
        <v>159</v>
      </c>
      <c r="E13" s="134">
        <v>14000</v>
      </c>
      <c r="F13" s="134">
        <v>88</v>
      </c>
    </row>
    <row r="14" spans="1:6" ht="23.25">
      <c r="A14" s="131">
        <v>10</v>
      </c>
      <c r="B14" s="132">
        <v>17701</v>
      </c>
      <c r="C14" s="133" t="s">
        <v>160</v>
      </c>
      <c r="D14" s="131" t="s">
        <v>161</v>
      </c>
      <c r="E14" s="134">
        <v>23000</v>
      </c>
      <c r="F14" s="134">
        <v>288</v>
      </c>
    </row>
    <row r="15" spans="1:6" ht="23.25">
      <c r="A15" s="131">
        <v>11</v>
      </c>
      <c r="B15" s="132">
        <v>17760</v>
      </c>
      <c r="C15" s="133" t="s">
        <v>162</v>
      </c>
      <c r="D15" s="131" t="s">
        <v>163</v>
      </c>
      <c r="E15" s="134">
        <v>30000</v>
      </c>
      <c r="F15" s="134">
        <f>1125+430+589+362</f>
        <v>2506</v>
      </c>
    </row>
    <row r="16" spans="1:6" ht="23.25">
      <c r="A16" s="131">
        <v>12</v>
      </c>
      <c r="B16" s="132">
        <v>17931</v>
      </c>
      <c r="C16" s="133" t="s">
        <v>164</v>
      </c>
      <c r="D16" s="131" t="s">
        <v>165</v>
      </c>
      <c r="E16" s="134">
        <v>40000</v>
      </c>
      <c r="F16" s="134">
        <f>1858+430+589+362</f>
        <v>3239</v>
      </c>
    </row>
    <row r="17" spans="1:6" ht="23.25">
      <c r="A17" s="131">
        <v>13</v>
      </c>
      <c r="B17" s="132">
        <v>18079</v>
      </c>
      <c r="C17" s="133" t="s">
        <v>166</v>
      </c>
      <c r="D17" s="131" t="s">
        <v>167</v>
      </c>
      <c r="E17" s="134">
        <v>15000</v>
      </c>
      <c r="F17" s="134">
        <v>750</v>
      </c>
    </row>
    <row r="18" spans="1:6" ht="23.25">
      <c r="A18" s="131">
        <v>14</v>
      </c>
      <c r="B18" s="132">
        <v>18083</v>
      </c>
      <c r="C18" s="133" t="s">
        <v>168</v>
      </c>
      <c r="D18" s="131" t="s">
        <v>145</v>
      </c>
      <c r="E18" s="134">
        <v>10000</v>
      </c>
      <c r="F18" s="134">
        <v>125</v>
      </c>
    </row>
    <row r="19" spans="1:6" ht="23.25">
      <c r="A19" s="131">
        <v>15</v>
      </c>
      <c r="B19" s="132">
        <v>18219</v>
      </c>
      <c r="C19" s="133" t="s">
        <v>169</v>
      </c>
      <c r="D19" s="131" t="s">
        <v>170</v>
      </c>
      <c r="E19" s="134">
        <v>25000</v>
      </c>
      <c r="F19" s="134">
        <v>313</v>
      </c>
    </row>
    <row r="20" spans="1:6" ht="23.25">
      <c r="A20" s="131">
        <v>16</v>
      </c>
      <c r="B20" s="132">
        <v>18259</v>
      </c>
      <c r="C20" s="133" t="s">
        <v>171</v>
      </c>
      <c r="D20" s="131" t="s">
        <v>159</v>
      </c>
      <c r="E20" s="134">
        <v>7000</v>
      </c>
      <c r="F20" s="134">
        <v>88</v>
      </c>
    </row>
    <row r="21" spans="1:6" ht="23.25">
      <c r="A21" s="131">
        <v>17</v>
      </c>
      <c r="B21" s="132">
        <v>18498</v>
      </c>
      <c r="C21" s="133" t="s">
        <v>172</v>
      </c>
      <c r="D21" s="131" t="s">
        <v>173</v>
      </c>
      <c r="E21" s="134">
        <v>13000</v>
      </c>
      <c r="F21" s="134">
        <v>82</v>
      </c>
    </row>
    <row r="22" spans="1:6" ht="23.25">
      <c r="A22" s="131">
        <v>18</v>
      </c>
      <c r="B22" s="132">
        <v>18499</v>
      </c>
      <c r="C22" s="133" t="s">
        <v>174</v>
      </c>
      <c r="D22" s="131" t="s">
        <v>155</v>
      </c>
      <c r="E22" s="134">
        <v>14000</v>
      </c>
      <c r="F22" s="134">
        <v>175</v>
      </c>
    </row>
    <row r="23" spans="1:6" ht="23.25">
      <c r="A23" s="131">
        <v>19</v>
      </c>
      <c r="B23" s="132">
        <v>237770</v>
      </c>
      <c r="C23" s="133" t="s">
        <v>175</v>
      </c>
      <c r="D23" s="131" t="s">
        <v>176</v>
      </c>
      <c r="E23" s="134">
        <v>25000</v>
      </c>
      <c r="F23" s="134">
        <v>1151</v>
      </c>
    </row>
    <row r="24" spans="1:6" ht="23.25">
      <c r="A24" s="131">
        <v>20</v>
      </c>
      <c r="B24" s="132">
        <v>18820</v>
      </c>
      <c r="C24" s="133" t="s">
        <v>177</v>
      </c>
      <c r="D24" s="131" t="s">
        <v>157</v>
      </c>
      <c r="E24" s="134">
        <v>9000</v>
      </c>
      <c r="F24" s="134">
        <v>113</v>
      </c>
    </row>
    <row r="25" spans="1:6" ht="23.25">
      <c r="A25" s="131">
        <v>21</v>
      </c>
      <c r="B25" s="132">
        <v>18820</v>
      </c>
      <c r="C25" s="133" t="s">
        <v>178</v>
      </c>
      <c r="D25" s="131" t="s">
        <v>179</v>
      </c>
      <c r="E25" s="134">
        <v>26000</v>
      </c>
      <c r="F25" s="134">
        <v>163</v>
      </c>
    </row>
    <row r="26" spans="1:6" ht="23.25">
      <c r="A26" s="131">
        <v>22</v>
      </c>
      <c r="B26" s="132">
        <v>18825</v>
      </c>
      <c r="C26" s="133" t="s">
        <v>180</v>
      </c>
      <c r="D26" s="131" t="s">
        <v>157</v>
      </c>
      <c r="E26" s="134">
        <v>15000</v>
      </c>
      <c r="F26" s="134">
        <v>188</v>
      </c>
    </row>
    <row r="27" spans="1:6" ht="23.25">
      <c r="A27" s="131">
        <v>23</v>
      </c>
      <c r="B27" s="132">
        <v>18910</v>
      </c>
      <c r="C27" s="133" t="s">
        <v>181</v>
      </c>
      <c r="D27" s="131" t="s">
        <v>182</v>
      </c>
      <c r="E27" s="134">
        <v>39000</v>
      </c>
      <c r="F27" s="134">
        <v>1219</v>
      </c>
    </row>
    <row r="28" spans="1:6" ht="23.25">
      <c r="A28" s="131">
        <v>24</v>
      </c>
      <c r="B28" s="132">
        <v>18974</v>
      </c>
      <c r="C28" s="133" t="s">
        <v>183</v>
      </c>
      <c r="D28" s="131" t="s">
        <v>184</v>
      </c>
      <c r="E28" s="134">
        <v>25000</v>
      </c>
      <c r="F28" s="134">
        <v>313</v>
      </c>
    </row>
    <row r="29" spans="1:6" ht="23.25">
      <c r="A29" s="131">
        <v>25</v>
      </c>
      <c r="B29" s="132">
        <v>19192</v>
      </c>
      <c r="C29" s="133" t="s">
        <v>185</v>
      </c>
      <c r="D29" s="131" t="s">
        <v>186</v>
      </c>
      <c r="E29" s="134">
        <v>16000</v>
      </c>
      <c r="F29" s="134">
        <v>200</v>
      </c>
    </row>
    <row r="30" spans="1:6" ht="23.25">
      <c r="A30" s="131">
        <v>26</v>
      </c>
      <c r="B30" s="132">
        <v>19202</v>
      </c>
      <c r="C30" s="133" t="s">
        <v>187</v>
      </c>
      <c r="D30" s="131" t="s">
        <v>188</v>
      </c>
      <c r="E30" s="134">
        <v>26000</v>
      </c>
      <c r="F30" s="134">
        <v>325</v>
      </c>
    </row>
    <row r="31" spans="1:6" ht="23.25">
      <c r="A31" s="131">
        <v>27</v>
      </c>
      <c r="B31" s="135">
        <v>19225</v>
      </c>
      <c r="C31" s="136" t="s">
        <v>189</v>
      </c>
      <c r="D31" s="131" t="s">
        <v>179</v>
      </c>
      <c r="E31" s="134">
        <v>15000</v>
      </c>
      <c r="F31" s="134">
        <v>188</v>
      </c>
    </row>
    <row r="33" spans="1:6" ht="22.5" customHeight="1">
      <c r="A33" s="128" t="s">
        <v>137</v>
      </c>
      <c r="B33" s="128" t="s">
        <v>138</v>
      </c>
      <c r="C33" s="129" t="s">
        <v>139</v>
      </c>
      <c r="D33" s="128" t="s">
        <v>140</v>
      </c>
      <c r="E33" s="130" t="s">
        <v>141</v>
      </c>
      <c r="F33" s="130" t="s">
        <v>142</v>
      </c>
    </row>
    <row r="34" spans="1:6" ht="22.5" customHeight="1">
      <c r="A34" s="131">
        <v>28</v>
      </c>
      <c r="B34" s="132">
        <v>19283</v>
      </c>
      <c r="C34" s="133" t="s">
        <v>190</v>
      </c>
      <c r="D34" s="131" t="s">
        <v>191</v>
      </c>
      <c r="E34" s="134">
        <v>16600</v>
      </c>
      <c r="F34" s="134">
        <v>208</v>
      </c>
    </row>
    <row r="35" spans="1:6" ht="22.5" customHeight="1">
      <c r="A35" s="131">
        <v>29</v>
      </c>
      <c r="B35" s="132">
        <v>19288</v>
      </c>
      <c r="C35" s="133" t="s">
        <v>192</v>
      </c>
      <c r="D35" s="131" t="s">
        <v>193</v>
      </c>
      <c r="E35" s="134">
        <v>9000</v>
      </c>
      <c r="F35" s="134">
        <v>225</v>
      </c>
    </row>
    <row r="36" spans="1:6" ht="22.5" customHeight="1">
      <c r="A36" s="131">
        <v>30</v>
      </c>
      <c r="B36" s="132">
        <v>19400</v>
      </c>
      <c r="C36" s="133" t="s">
        <v>194</v>
      </c>
      <c r="D36" s="131" t="s">
        <v>195</v>
      </c>
      <c r="E36" s="134">
        <v>25000</v>
      </c>
      <c r="F36" s="134">
        <v>1250</v>
      </c>
    </row>
    <row r="37" spans="1:6" ht="22.5" customHeight="1">
      <c r="A37" s="131">
        <v>31</v>
      </c>
      <c r="B37" s="132">
        <v>19429</v>
      </c>
      <c r="C37" s="133" t="s">
        <v>196</v>
      </c>
      <c r="D37" s="131" t="s">
        <v>197</v>
      </c>
      <c r="E37" s="134">
        <v>30000</v>
      </c>
      <c r="F37" s="134">
        <v>375</v>
      </c>
    </row>
    <row r="38" spans="1:6" ht="22.5" customHeight="1">
      <c r="A38" s="131">
        <v>32</v>
      </c>
      <c r="B38" s="132">
        <v>19653</v>
      </c>
      <c r="C38" s="133" t="s">
        <v>198</v>
      </c>
      <c r="D38" s="131" t="s">
        <v>199</v>
      </c>
      <c r="E38" s="134">
        <v>50000</v>
      </c>
      <c r="F38" s="134">
        <v>313</v>
      </c>
    </row>
    <row r="39" spans="1:6" ht="22.5" customHeight="1">
      <c r="A39" s="131">
        <v>33</v>
      </c>
      <c r="B39" s="132">
        <v>19659</v>
      </c>
      <c r="C39" s="133" t="s">
        <v>200</v>
      </c>
      <c r="D39" s="131" t="s">
        <v>201</v>
      </c>
      <c r="E39" s="134">
        <v>13000</v>
      </c>
      <c r="F39" s="134">
        <v>82</v>
      </c>
    </row>
    <row r="40" spans="1:6" ht="22.5" customHeight="1">
      <c r="A40" s="131">
        <v>34</v>
      </c>
      <c r="B40" s="132">
        <v>19661</v>
      </c>
      <c r="C40" s="133" t="s">
        <v>202</v>
      </c>
      <c r="D40" s="131" t="s">
        <v>191</v>
      </c>
      <c r="E40" s="134">
        <v>16600</v>
      </c>
      <c r="F40" s="134">
        <v>104</v>
      </c>
    </row>
    <row r="41" spans="1:6" ht="22.5" customHeight="1">
      <c r="A41" s="131">
        <v>35</v>
      </c>
      <c r="B41" s="132">
        <v>19752</v>
      </c>
      <c r="C41" s="133" t="s">
        <v>203</v>
      </c>
      <c r="D41" s="131" t="s">
        <v>204</v>
      </c>
      <c r="E41" s="134">
        <v>20000</v>
      </c>
      <c r="F41" s="134">
        <v>125</v>
      </c>
    </row>
    <row r="42" spans="1:6" ht="22.5" customHeight="1">
      <c r="A42" s="131">
        <v>36</v>
      </c>
      <c r="B42" s="132">
        <v>19787</v>
      </c>
      <c r="C42" s="133" t="s">
        <v>205</v>
      </c>
      <c r="D42" s="131" t="s">
        <v>182</v>
      </c>
      <c r="E42" s="134">
        <v>39000</v>
      </c>
      <c r="F42" s="134">
        <v>488</v>
      </c>
    </row>
    <row r="43" spans="1:6" ht="22.5" customHeight="1">
      <c r="A43" s="131">
        <v>37</v>
      </c>
      <c r="B43" s="132">
        <v>19976</v>
      </c>
      <c r="C43" s="133" t="s">
        <v>206</v>
      </c>
      <c r="D43" s="131" t="s">
        <v>186</v>
      </c>
      <c r="E43" s="134">
        <v>40000</v>
      </c>
      <c r="F43" s="134">
        <v>250</v>
      </c>
    </row>
    <row r="44" spans="1:6" ht="22.5" customHeight="1">
      <c r="A44" s="131">
        <v>38</v>
      </c>
      <c r="B44" s="132">
        <v>239178</v>
      </c>
      <c r="C44" s="133" t="s">
        <v>207</v>
      </c>
      <c r="D44" s="131" t="s">
        <v>208</v>
      </c>
      <c r="E44" s="134">
        <v>13000</v>
      </c>
      <c r="F44" s="134">
        <v>82</v>
      </c>
    </row>
    <row r="45" spans="1:6" ht="22.5" customHeight="1">
      <c r="A45" s="131">
        <v>39</v>
      </c>
      <c r="B45" s="132">
        <v>239179</v>
      </c>
      <c r="C45" s="133" t="s">
        <v>209</v>
      </c>
      <c r="D45" s="131" t="s">
        <v>210</v>
      </c>
      <c r="E45" s="134">
        <v>50000</v>
      </c>
      <c r="F45" s="134">
        <v>625</v>
      </c>
    </row>
    <row r="46" spans="1:6" ht="22.5" customHeight="1">
      <c r="A46" s="131">
        <v>40</v>
      </c>
      <c r="B46" s="132">
        <v>239185</v>
      </c>
      <c r="C46" s="133" t="s">
        <v>211</v>
      </c>
      <c r="D46" s="131" t="s">
        <v>212</v>
      </c>
      <c r="E46" s="134">
        <v>16600</v>
      </c>
      <c r="F46" s="134">
        <v>104</v>
      </c>
    </row>
    <row r="47" spans="1:6" ht="22.5" customHeight="1">
      <c r="A47" s="131">
        <v>41</v>
      </c>
      <c r="B47" s="132">
        <v>239189</v>
      </c>
      <c r="C47" s="133" t="s">
        <v>213</v>
      </c>
      <c r="D47" s="131" t="s">
        <v>214</v>
      </c>
      <c r="E47" s="134">
        <v>15000</v>
      </c>
      <c r="F47" s="134">
        <v>282</v>
      </c>
    </row>
    <row r="48" spans="1:6" ht="22.5" customHeight="1">
      <c r="A48" s="131">
        <v>42</v>
      </c>
      <c r="B48" s="132">
        <v>239206</v>
      </c>
      <c r="C48" s="133" t="s">
        <v>215</v>
      </c>
      <c r="D48" s="131" t="s">
        <v>216</v>
      </c>
      <c r="E48" s="134">
        <v>60000</v>
      </c>
      <c r="F48" s="134">
        <v>375</v>
      </c>
    </row>
    <row r="49" spans="1:6" ht="22.5" customHeight="1">
      <c r="A49" s="131">
        <v>43</v>
      </c>
      <c r="B49" s="132">
        <v>239308</v>
      </c>
      <c r="C49" s="133" t="s">
        <v>217</v>
      </c>
      <c r="D49" s="131" t="s">
        <v>218</v>
      </c>
      <c r="E49" s="134">
        <v>20000</v>
      </c>
      <c r="F49" s="134">
        <v>125</v>
      </c>
    </row>
    <row r="50" spans="1:6" ht="22.5" customHeight="1">
      <c r="A50" s="131">
        <v>44</v>
      </c>
      <c r="B50" s="132">
        <v>239349</v>
      </c>
      <c r="C50" s="133" t="s">
        <v>219</v>
      </c>
      <c r="D50" s="131" t="s">
        <v>220</v>
      </c>
      <c r="E50" s="134">
        <v>39000</v>
      </c>
      <c r="F50" s="134">
        <v>244</v>
      </c>
    </row>
    <row r="51" spans="1:6" ht="22.5" customHeight="1">
      <c r="A51" s="131">
        <v>45</v>
      </c>
      <c r="B51" s="132">
        <v>20366</v>
      </c>
      <c r="C51" s="133" t="s">
        <v>335</v>
      </c>
      <c r="D51" s="131" t="s">
        <v>336</v>
      </c>
      <c r="E51" s="134">
        <v>26000</v>
      </c>
      <c r="F51" s="134">
        <v>163</v>
      </c>
    </row>
    <row r="52" spans="1:6" ht="22.5" customHeight="1">
      <c r="A52" s="131">
        <v>46</v>
      </c>
      <c r="B52" s="132">
        <v>20436</v>
      </c>
      <c r="C52" s="133" t="s">
        <v>377</v>
      </c>
      <c r="D52" s="131" t="s">
        <v>378</v>
      </c>
      <c r="E52" s="134">
        <v>60000</v>
      </c>
      <c r="F52" s="134">
        <v>375</v>
      </c>
    </row>
    <row r="53" spans="1:6" ht="22.5" customHeight="1">
      <c r="A53" s="131">
        <v>47</v>
      </c>
      <c r="B53" s="132">
        <v>20386</v>
      </c>
      <c r="C53" s="133" t="s">
        <v>379</v>
      </c>
      <c r="D53" s="131" t="s">
        <v>380</v>
      </c>
      <c r="E53" s="134">
        <v>40000</v>
      </c>
      <c r="F53" s="134">
        <v>1000</v>
      </c>
    </row>
    <row r="54" spans="1:6" ht="22.5" customHeight="1">
      <c r="A54" s="131">
        <v>48</v>
      </c>
      <c r="B54" s="132">
        <v>20582</v>
      </c>
      <c r="C54" s="133" t="s">
        <v>381</v>
      </c>
      <c r="D54" s="131" t="s">
        <v>382</v>
      </c>
      <c r="E54" s="134">
        <v>39000</v>
      </c>
      <c r="F54" s="134">
        <v>488</v>
      </c>
    </row>
    <row r="55" spans="1:6" ht="22.5" customHeight="1">
      <c r="A55" s="131">
        <v>49</v>
      </c>
      <c r="B55" s="132">
        <v>20913</v>
      </c>
      <c r="C55" s="133" t="s">
        <v>383</v>
      </c>
      <c r="D55" s="131" t="s">
        <v>218</v>
      </c>
      <c r="E55" s="134">
        <v>20000</v>
      </c>
      <c r="F55" s="134">
        <v>625</v>
      </c>
    </row>
    <row r="56" spans="1:6" ht="22.5" customHeight="1">
      <c r="A56" s="131">
        <v>50</v>
      </c>
      <c r="B56" s="132">
        <v>20681</v>
      </c>
      <c r="C56" s="133" t="s">
        <v>384</v>
      </c>
      <c r="D56" s="131" t="s">
        <v>372</v>
      </c>
      <c r="E56" s="134">
        <v>40000</v>
      </c>
      <c r="F56" s="134">
        <v>250</v>
      </c>
    </row>
    <row r="57" spans="1:6" ht="22.5" customHeight="1">
      <c r="A57" s="131">
        <v>51</v>
      </c>
      <c r="B57" s="132">
        <v>20766</v>
      </c>
      <c r="C57" s="133" t="s">
        <v>373</v>
      </c>
      <c r="D57" s="131" t="s">
        <v>413</v>
      </c>
      <c r="E57" s="134">
        <v>15000</v>
      </c>
      <c r="F57" s="134">
        <v>188</v>
      </c>
    </row>
    <row r="58" spans="1:6" ht="22.5" customHeight="1">
      <c r="A58" s="131"/>
      <c r="B58" s="132"/>
      <c r="C58" s="133"/>
      <c r="D58" s="131"/>
      <c r="E58" s="134"/>
      <c r="F58" s="134"/>
    </row>
    <row r="59" spans="1:6" ht="22.5" customHeight="1" thickBot="1">
      <c r="A59" s="298" t="s">
        <v>19</v>
      </c>
      <c r="B59" s="299"/>
      <c r="C59" s="299"/>
      <c r="D59" s="300"/>
      <c r="E59" s="138">
        <f>SUM(E5:E58)</f>
        <v>1467100</v>
      </c>
      <c r="F59" s="138">
        <f>SUM(F5:F57)</f>
        <v>26912</v>
      </c>
    </row>
    <row r="60" spans="1:6" ht="22.5" customHeight="1" thickTop="1">
      <c r="A60" s="139"/>
      <c r="B60" s="139"/>
      <c r="C60" s="139"/>
      <c r="D60" s="139"/>
      <c r="E60" s="139"/>
      <c r="F60" s="139"/>
    </row>
    <row r="61" spans="1:6" ht="22.5" customHeight="1">
      <c r="A61" s="296" t="s">
        <v>385</v>
      </c>
      <c r="B61" s="296"/>
      <c r="C61" s="296"/>
      <c r="D61" s="296"/>
      <c r="E61" s="296"/>
      <c r="F61" s="296"/>
    </row>
    <row r="62" spans="1:6" ht="22.5" customHeight="1">
      <c r="A62" s="296" t="s">
        <v>221</v>
      </c>
      <c r="B62" s="296"/>
      <c r="C62" s="296"/>
      <c r="D62" s="296"/>
      <c r="E62" s="296"/>
      <c r="F62" s="296"/>
    </row>
    <row r="63" spans="1:6" ht="22.5" customHeight="1">
      <c r="A63" s="296" t="s">
        <v>222</v>
      </c>
      <c r="B63" s="296"/>
      <c r="C63" s="296"/>
      <c r="D63" s="296"/>
      <c r="E63" s="296"/>
      <c r="F63" s="296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6">
      <selection activeCell="H7" sqref="H7"/>
    </sheetView>
  </sheetViews>
  <sheetFormatPr defaultColWidth="9.140625" defaultRowHeight="12.75"/>
  <cols>
    <col min="1" max="1" width="12.28125" style="153" customWidth="1"/>
    <col min="2" max="2" width="33.8515625" style="153" customWidth="1"/>
    <col min="3" max="3" width="38.421875" style="154" customWidth="1"/>
    <col min="4" max="16384" width="9.140625" style="127" customWidth="1"/>
  </cols>
  <sheetData>
    <row r="1" spans="1:3" ht="23.25">
      <c r="A1" s="293" t="s">
        <v>511</v>
      </c>
      <c r="B1" s="293"/>
      <c r="C1" s="293"/>
    </row>
    <row r="2" spans="1:3" ht="23.25">
      <c r="A2" s="293" t="s">
        <v>366</v>
      </c>
      <c r="B2" s="293"/>
      <c r="C2" s="293"/>
    </row>
    <row r="3" spans="1:3" ht="23.25">
      <c r="A3" s="293" t="s">
        <v>257</v>
      </c>
      <c r="B3" s="293"/>
      <c r="C3" s="293"/>
    </row>
    <row r="4" spans="1:3" ht="19.5" customHeight="1">
      <c r="A4" s="172" t="s">
        <v>137</v>
      </c>
      <c r="B4" s="172" t="s">
        <v>138</v>
      </c>
      <c r="C4" s="174" t="s">
        <v>261</v>
      </c>
    </row>
    <row r="5" spans="1:3" ht="19.5" customHeight="1">
      <c r="A5" s="206">
        <v>1</v>
      </c>
      <c r="B5" s="203">
        <v>235849</v>
      </c>
      <c r="C5" s="207">
        <v>103.54</v>
      </c>
    </row>
    <row r="6" spans="1:3" ht="19.5" customHeight="1">
      <c r="A6" s="206">
        <v>2</v>
      </c>
      <c r="B6" s="203">
        <v>236021</v>
      </c>
      <c r="C6" s="207">
        <v>136.72</v>
      </c>
    </row>
    <row r="7" spans="1:3" ht="19.5" customHeight="1">
      <c r="A7" s="206">
        <v>3</v>
      </c>
      <c r="B7" s="203">
        <v>236213</v>
      </c>
      <c r="C7" s="207">
        <v>211.02</v>
      </c>
    </row>
    <row r="8" spans="1:3" ht="19.5" customHeight="1">
      <c r="A8" s="206">
        <v>4</v>
      </c>
      <c r="B8" s="203">
        <v>236394</v>
      </c>
      <c r="C8" s="207">
        <v>57.48</v>
      </c>
    </row>
    <row r="9" spans="1:3" ht="19.5" customHeight="1">
      <c r="A9" s="206">
        <v>5</v>
      </c>
      <c r="B9" s="203">
        <v>236583</v>
      </c>
      <c r="C9" s="207">
        <v>146.63</v>
      </c>
    </row>
    <row r="10" spans="1:3" ht="18.75" customHeight="1">
      <c r="A10" s="206">
        <v>6</v>
      </c>
      <c r="B10" s="203">
        <v>236759</v>
      </c>
      <c r="C10" s="208">
        <v>119.2</v>
      </c>
    </row>
    <row r="11" spans="1:3" ht="19.5" customHeight="1">
      <c r="A11" s="206">
        <v>7</v>
      </c>
      <c r="B11" s="203">
        <v>236948</v>
      </c>
      <c r="C11" s="208">
        <v>287.6</v>
      </c>
    </row>
    <row r="12" spans="1:3" ht="19.5" customHeight="1">
      <c r="A12" s="206">
        <v>8</v>
      </c>
      <c r="B12" s="203">
        <v>237130</v>
      </c>
      <c r="C12" s="207">
        <v>403.22</v>
      </c>
    </row>
    <row r="13" spans="1:3" ht="19.5" customHeight="1">
      <c r="A13" s="206">
        <v>9</v>
      </c>
      <c r="B13" s="203">
        <v>237312</v>
      </c>
      <c r="C13" s="209">
        <v>234.17</v>
      </c>
    </row>
    <row r="14" spans="1:3" ht="19.5" customHeight="1">
      <c r="A14" s="206">
        <v>10</v>
      </c>
      <c r="B14" s="203">
        <v>18348</v>
      </c>
      <c r="C14" s="209">
        <v>254.88</v>
      </c>
    </row>
    <row r="15" spans="1:3" ht="19.5" customHeight="1">
      <c r="A15" s="206">
        <v>11</v>
      </c>
      <c r="B15" s="203">
        <v>237676</v>
      </c>
      <c r="C15" s="209">
        <v>346.72</v>
      </c>
    </row>
    <row r="16" spans="1:3" ht="19.5" customHeight="1">
      <c r="A16" s="206">
        <v>12</v>
      </c>
      <c r="B16" s="203">
        <v>237857</v>
      </c>
      <c r="C16" s="209">
        <v>339.62</v>
      </c>
    </row>
    <row r="17" spans="1:3" ht="19.5" customHeight="1">
      <c r="A17" s="206">
        <v>13</v>
      </c>
      <c r="B17" s="203">
        <v>238039</v>
      </c>
      <c r="C17" s="209">
        <v>342.47</v>
      </c>
    </row>
    <row r="18" spans="1:3" ht="19.5" customHeight="1">
      <c r="A18" s="206">
        <v>14</v>
      </c>
      <c r="B18" s="203">
        <v>238222</v>
      </c>
      <c r="C18" s="209">
        <v>358.51</v>
      </c>
    </row>
    <row r="19" spans="1:3" ht="19.5" customHeight="1">
      <c r="A19" s="206">
        <v>15</v>
      </c>
      <c r="B19" s="203">
        <v>238404</v>
      </c>
      <c r="C19" s="209">
        <v>183.56</v>
      </c>
    </row>
    <row r="20" spans="1:3" ht="19.5" customHeight="1">
      <c r="A20" s="206">
        <v>16</v>
      </c>
      <c r="B20" s="203">
        <v>238586</v>
      </c>
      <c r="C20" s="209">
        <v>249.47</v>
      </c>
    </row>
    <row r="21" spans="1:3" ht="19.5" customHeight="1">
      <c r="A21" s="206">
        <v>17</v>
      </c>
      <c r="B21" s="203">
        <v>238775</v>
      </c>
      <c r="C21" s="209">
        <v>221.32</v>
      </c>
    </row>
    <row r="22" spans="1:3" ht="19.5" customHeight="1">
      <c r="A22" s="206">
        <v>18</v>
      </c>
      <c r="B22" s="203">
        <v>238949</v>
      </c>
      <c r="C22" s="209">
        <v>207.96</v>
      </c>
    </row>
    <row r="23" spans="1:3" ht="19.5" customHeight="1">
      <c r="A23" s="206">
        <v>19</v>
      </c>
      <c r="B23" s="203">
        <v>239138</v>
      </c>
      <c r="C23" s="209">
        <v>487.4</v>
      </c>
    </row>
    <row r="24" spans="1:3" ht="19.5" customHeight="1">
      <c r="A24" s="206">
        <v>20</v>
      </c>
      <c r="B24" s="203">
        <v>239320</v>
      </c>
      <c r="C24" s="209">
        <v>323.86</v>
      </c>
    </row>
    <row r="25" spans="1:3" ht="19.5" customHeight="1">
      <c r="A25" s="206">
        <v>21</v>
      </c>
      <c r="B25" s="203">
        <v>239507</v>
      </c>
      <c r="C25" s="209">
        <v>369.85</v>
      </c>
    </row>
    <row r="26" spans="1:3" ht="19.5" customHeight="1">
      <c r="A26" s="206">
        <v>22</v>
      </c>
      <c r="B26" s="203">
        <v>239691</v>
      </c>
      <c r="C26" s="209">
        <v>451.52</v>
      </c>
    </row>
    <row r="27" spans="1:3" ht="19.5" customHeight="1">
      <c r="A27" s="206">
        <v>23</v>
      </c>
      <c r="B27" s="203">
        <v>239872</v>
      </c>
      <c r="C27" s="209">
        <v>358.8</v>
      </c>
    </row>
    <row r="28" spans="1:3" ht="19.5" customHeight="1">
      <c r="A28" s="206">
        <v>24</v>
      </c>
      <c r="B28" s="203">
        <v>240054</v>
      </c>
      <c r="C28" s="209">
        <v>415.47</v>
      </c>
    </row>
    <row r="29" spans="1:3" ht="19.5" customHeight="1">
      <c r="A29" s="206">
        <v>25</v>
      </c>
      <c r="B29" s="203">
        <v>21090</v>
      </c>
      <c r="C29" s="209">
        <v>271.13</v>
      </c>
    </row>
    <row r="30" spans="1:3" ht="19.5" customHeight="1">
      <c r="A30" s="206">
        <v>26</v>
      </c>
      <c r="B30" s="203">
        <v>21272</v>
      </c>
      <c r="C30" s="209">
        <v>381.92</v>
      </c>
    </row>
    <row r="31" spans="1:3" ht="19.5" customHeight="1">
      <c r="A31" s="206">
        <v>27</v>
      </c>
      <c r="B31" s="203">
        <v>21457</v>
      </c>
      <c r="C31" s="209">
        <v>283.67</v>
      </c>
    </row>
    <row r="32" spans="1:3" ht="24" thickBot="1">
      <c r="A32" s="301" t="s">
        <v>19</v>
      </c>
      <c r="B32" s="302"/>
      <c r="C32" s="210">
        <f>SUM(C5:C31)</f>
        <v>7547.71</v>
      </c>
    </row>
    <row r="33" spans="1:3" ht="24" thickTop="1">
      <c r="A33" s="211"/>
      <c r="B33" s="211"/>
      <c r="C33" s="212"/>
    </row>
    <row r="34" spans="1:3" ht="23.25">
      <c r="A34" s="294" t="s">
        <v>386</v>
      </c>
      <c r="B34" s="294"/>
      <c r="C34" s="294"/>
    </row>
    <row r="35" spans="1:3" ht="23.25">
      <c r="A35" s="303" t="s">
        <v>387</v>
      </c>
      <c r="B35" s="303"/>
      <c r="C35" s="303"/>
    </row>
    <row r="36" spans="1:3" ht="23.25">
      <c r="A36" s="291" t="s">
        <v>388</v>
      </c>
      <c r="B36" s="291"/>
      <c r="C36" s="291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5"/>
  <sheetViews>
    <sheetView view="pageBreakPreview" zoomScaleSheetLayoutView="100" zoomScalePageLayoutView="0" workbookViewId="0" topLeftCell="A160">
      <selection activeCell="E168" sqref="E168"/>
    </sheetView>
  </sheetViews>
  <sheetFormatPr defaultColWidth="9.140625" defaultRowHeight="19.5" customHeight="1"/>
  <cols>
    <col min="1" max="1" width="9.8515625" style="274" customWidth="1"/>
    <col min="2" max="2" width="10.8515625" style="274" customWidth="1"/>
    <col min="3" max="3" width="10.140625" style="274" customWidth="1"/>
    <col min="4" max="4" width="11.28125" style="230" customWidth="1"/>
    <col min="5" max="5" width="43.421875" style="230" customWidth="1"/>
    <col min="6" max="6" width="6.28125" style="272" customWidth="1"/>
    <col min="7" max="7" width="10.7109375" style="274" customWidth="1"/>
    <col min="8" max="8" width="45.7109375" style="230" customWidth="1"/>
    <col min="9" max="16384" width="9.140625" style="230" customWidth="1"/>
  </cols>
  <sheetData>
    <row r="1" spans="1:7" ht="19.5" customHeight="1">
      <c r="A1" s="231" t="s">
        <v>34</v>
      </c>
      <c r="B1" s="231"/>
      <c r="C1" s="231"/>
      <c r="D1" s="231"/>
      <c r="E1" s="310" t="s">
        <v>513</v>
      </c>
      <c r="F1" s="310"/>
      <c r="G1" s="310"/>
    </row>
    <row r="2" spans="1:7" ht="19.5" customHeight="1">
      <c r="A2" s="308" t="s">
        <v>20</v>
      </c>
      <c r="B2" s="308"/>
      <c r="C2" s="308"/>
      <c r="D2" s="308"/>
      <c r="E2" s="308"/>
      <c r="F2" s="308"/>
      <c r="G2" s="308"/>
    </row>
    <row r="3" spans="1:7" ht="19.5" customHeight="1">
      <c r="A3" s="308" t="s">
        <v>512</v>
      </c>
      <c r="B3" s="308"/>
      <c r="C3" s="308"/>
      <c r="D3" s="308"/>
      <c r="E3" s="308"/>
      <c r="F3" s="308"/>
      <c r="G3" s="308"/>
    </row>
    <row r="4" spans="1:7" ht="19.5" customHeight="1">
      <c r="A4" s="311" t="s">
        <v>21</v>
      </c>
      <c r="B4" s="312"/>
      <c r="C4" s="312"/>
      <c r="D4" s="313"/>
      <c r="E4" s="314" t="s">
        <v>24</v>
      </c>
      <c r="F4" s="232"/>
      <c r="G4" s="233" t="s">
        <v>70</v>
      </c>
    </row>
    <row r="5" spans="1:7" ht="19.5" customHeight="1">
      <c r="A5" s="233" t="s">
        <v>22</v>
      </c>
      <c r="B5" s="234" t="s">
        <v>441</v>
      </c>
      <c r="C5" s="234" t="s">
        <v>19</v>
      </c>
      <c r="D5" s="235" t="s">
        <v>23</v>
      </c>
      <c r="E5" s="315"/>
      <c r="F5" s="236" t="s">
        <v>25</v>
      </c>
      <c r="G5" s="237" t="s">
        <v>444</v>
      </c>
    </row>
    <row r="6" spans="1:7" ht="19.5" customHeight="1">
      <c r="A6" s="237" t="s">
        <v>28</v>
      </c>
      <c r="B6" s="238" t="s">
        <v>442</v>
      </c>
      <c r="C6" s="239" t="s">
        <v>28</v>
      </c>
      <c r="D6" s="240" t="s">
        <v>28</v>
      </c>
      <c r="E6" s="315"/>
      <c r="F6" s="236" t="s">
        <v>26</v>
      </c>
      <c r="G6" s="237" t="s">
        <v>445</v>
      </c>
    </row>
    <row r="7" spans="1:7" ht="19.5" customHeight="1">
      <c r="A7" s="241"/>
      <c r="B7" s="242" t="s">
        <v>443</v>
      </c>
      <c r="C7" s="242"/>
      <c r="D7" s="243"/>
      <c r="E7" s="316"/>
      <c r="F7" s="236"/>
      <c r="G7" s="241" t="s">
        <v>28</v>
      </c>
    </row>
    <row r="8" spans="1:7" ht="19.5" customHeight="1">
      <c r="A8" s="244"/>
      <c r="B8" s="244"/>
      <c r="C8" s="244"/>
      <c r="D8" s="244">
        <v>32620036.91</v>
      </c>
      <c r="E8" s="218" t="s">
        <v>29</v>
      </c>
      <c r="F8" s="236"/>
      <c r="G8" s="245">
        <v>32620036.91</v>
      </c>
    </row>
    <row r="9" spans="1:7" ht="19.5" customHeight="1">
      <c r="A9" s="246">
        <v>373500</v>
      </c>
      <c r="B9" s="246"/>
      <c r="C9" s="246">
        <f>373500</f>
        <v>373500</v>
      </c>
      <c r="D9" s="246">
        <f>112.14</f>
        <v>112.14</v>
      </c>
      <c r="E9" s="219" t="s">
        <v>39</v>
      </c>
      <c r="F9" s="236" t="s">
        <v>344</v>
      </c>
      <c r="G9" s="245">
        <v>112.14</v>
      </c>
    </row>
    <row r="10" spans="1:7" ht="19.5" customHeight="1">
      <c r="A10" s="246">
        <v>172950</v>
      </c>
      <c r="B10" s="246"/>
      <c r="C10" s="246">
        <f>172900</f>
        <v>172900</v>
      </c>
      <c r="D10" s="246">
        <f>3626</f>
        <v>3626</v>
      </c>
      <c r="E10" s="219" t="s">
        <v>42</v>
      </c>
      <c r="F10" s="236" t="s">
        <v>345</v>
      </c>
      <c r="G10" s="245">
        <v>3626</v>
      </c>
    </row>
    <row r="11" spans="1:7" ht="19.5" customHeight="1">
      <c r="A11" s="246">
        <v>200000</v>
      </c>
      <c r="B11" s="246"/>
      <c r="C11" s="246">
        <f>200000</f>
        <v>200000</v>
      </c>
      <c r="D11" s="246">
        <f>5543.01</f>
        <v>5543.01</v>
      </c>
      <c r="E11" s="219" t="s">
        <v>44</v>
      </c>
      <c r="F11" s="236" t="s">
        <v>346</v>
      </c>
      <c r="G11" s="237">
        <v>5543.01</v>
      </c>
    </row>
    <row r="12" spans="1:7" ht="19.5" customHeight="1">
      <c r="A12" s="246">
        <v>50800</v>
      </c>
      <c r="B12" s="246"/>
      <c r="C12" s="246">
        <f>50800</f>
        <v>50800</v>
      </c>
      <c r="D12" s="246">
        <f>4500</f>
        <v>4500</v>
      </c>
      <c r="E12" s="219" t="s">
        <v>46</v>
      </c>
      <c r="F12" s="236" t="s">
        <v>347</v>
      </c>
      <c r="G12" s="237">
        <v>4500</v>
      </c>
    </row>
    <row r="13" spans="1:7" ht="19.5" customHeight="1">
      <c r="A13" s="246">
        <v>500</v>
      </c>
      <c r="B13" s="246"/>
      <c r="C13" s="246">
        <f>500</f>
        <v>500</v>
      </c>
      <c r="D13" s="246"/>
      <c r="E13" s="219" t="s">
        <v>77</v>
      </c>
      <c r="F13" s="236" t="s">
        <v>348</v>
      </c>
      <c r="G13" s="237">
        <v>0</v>
      </c>
    </row>
    <row r="14" spans="1:7" ht="19.5" customHeight="1">
      <c r="A14" s="246">
        <v>13925600</v>
      </c>
      <c r="B14" s="246"/>
      <c r="C14" s="246">
        <f>13925600</f>
        <v>13925600</v>
      </c>
      <c r="D14" s="246">
        <f>1170175.13</f>
        <v>1170175.13</v>
      </c>
      <c r="E14" s="219" t="s">
        <v>48</v>
      </c>
      <c r="F14" s="236" t="s">
        <v>397</v>
      </c>
      <c r="G14" s="237">
        <v>1170175.13</v>
      </c>
    </row>
    <row r="15" spans="1:7" ht="19.5" customHeight="1">
      <c r="A15" s="246">
        <v>8451200</v>
      </c>
      <c r="B15" s="248"/>
      <c r="C15" s="246">
        <f>8451200</f>
        <v>8451200</v>
      </c>
      <c r="D15" s="248"/>
      <c r="E15" s="219" t="s">
        <v>126</v>
      </c>
      <c r="F15" s="236" t="s">
        <v>350</v>
      </c>
      <c r="G15" s="237">
        <v>0</v>
      </c>
    </row>
    <row r="16" spans="1:7" ht="19.5" customHeight="1">
      <c r="A16" s="246"/>
      <c r="B16" s="248">
        <v>0</v>
      </c>
      <c r="C16" s="246"/>
      <c r="D16" s="248"/>
      <c r="E16" s="219" t="s">
        <v>446</v>
      </c>
      <c r="F16" s="236" t="s">
        <v>499</v>
      </c>
      <c r="G16" s="237"/>
    </row>
    <row r="17" spans="1:7" ht="19.5" customHeight="1">
      <c r="A17" s="247"/>
      <c r="B17" s="248">
        <v>0</v>
      </c>
      <c r="C17" s="247"/>
      <c r="D17" s="248"/>
      <c r="E17" s="219"/>
      <c r="F17" s="236"/>
      <c r="G17" s="237"/>
    </row>
    <row r="18" spans="1:7" ht="19.5" customHeight="1">
      <c r="A18" s="249">
        <f>SUM(A9:A17)</f>
        <v>23174550</v>
      </c>
      <c r="B18" s="249">
        <f>SUM(B16:B17)</f>
        <v>0</v>
      </c>
      <c r="C18" s="249">
        <f>SUM(C9:C17)</f>
        <v>23174500</v>
      </c>
      <c r="D18" s="249">
        <f>SUM(D9:D17)</f>
        <v>1183956.2799999998</v>
      </c>
      <c r="E18" s="226" t="s">
        <v>19</v>
      </c>
      <c r="F18" s="250"/>
      <c r="G18" s="251">
        <f>SUM(G9:G17)</f>
        <v>1183956.2799999998</v>
      </c>
    </row>
    <row r="19" spans="1:7" ht="19.5" customHeight="1">
      <c r="A19" s="252"/>
      <c r="B19" s="252"/>
      <c r="C19" s="252"/>
      <c r="D19" s="246">
        <f>1000</f>
        <v>1000</v>
      </c>
      <c r="E19" s="219" t="s">
        <v>434</v>
      </c>
      <c r="F19" s="236" t="s">
        <v>464</v>
      </c>
      <c r="G19" s="245">
        <v>1000</v>
      </c>
    </row>
    <row r="20" spans="1:7" ht="19.5" customHeight="1">
      <c r="A20" s="252"/>
      <c r="B20" s="252"/>
      <c r="C20" s="252"/>
      <c r="D20" s="246"/>
      <c r="E20" s="219" t="s">
        <v>118</v>
      </c>
      <c r="F20" s="236" t="s">
        <v>470</v>
      </c>
      <c r="G20" s="245"/>
    </row>
    <row r="21" spans="1:7" ht="19.5" customHeight="1">
      <c r="A21" s="252"/>
      <c r="B21" s="252"/>
      <c r="C21" s="252"/>
      <c r="D21" s="246">
        <f>493.06</f>
        <v>493.06</v>
      </c>
      <c r="E21" s="219" t="s">
        <v>341</v>
      </c>
      <c r="F21" s="236" t="s">
        <v>465</v>
      </c>
      <c r="G21" s="245">
        <v>493.06</v>
      </c>
    </row>
    <row r="22" spans="1:7" ht="19.5" customHeight="1">
      <c r="A22" s="252"/>
      <c r="B22" s="252"/>
      <c r="C22" s="252"/>
      <c r="D22" s="246"/>
      <c r="E22" s="219" t="s">
        <v>477</v>
      </c>
      <c r="F22" s="236" t="s">
        <v>478</v>
      </c>
      <c r="G22" s="245"/>
    </row>
    <row r="23" spans="1:7" ht="19.5" customHeight="1">
      <c r="A23" s="252"/>
      <c r="B23" s="252"/>
      <c r="C23" s="252"/>
      <c r="D23" s="246">
        <v>785920</v>
      </c>
      <c r="E23" s="219" t="s">
        <v>479</v>
      </c>
      <c r="F23" s="236" t="s">
        <v>485</v>
      </c>
      <c r="G23" s="245">
        <v>785920</v>
      </c>
    </row>
    <row r="24" spans="1:7" ht="19.5" customHeight="1">
      <c r="A24" s="252"/>
      <c r="B24" s="252"/>
      <c r="C24" s="252"/>
      <c r="D24" s="246">
        <f>124000</f>
        <v>124000</v>
      </c>
      <c r="E24" s="219" t="s">
        <v>468</v>
      </c>
      <c r="F24" s="236" t="s">
        <v>466</v>
      </c>
      <c r="G24" s="245">
        <v>124000</v>
      </c>
    </row>
    <row r="25" spans="1:7" ht="19.5" customHeight="1">
      <c r="A25" s="252"/>
      <c r="B25" s="252"/>
      <c r="C25" s="252"/>
      <c r="D25" s="246"/>
      <c r="E25" s="219" t="s">
        <v>10</v>
      </c>
      <c r="F25" s="236" t="s">
        <v>459</v>
      </c>
      <c r="G25" s="245"/>
    </row>
    <row r="26" spans="1:7" ht="19.5" customHeight="1">
      <c r="A26" s="246"/>
      <c r="B26" s="246"/>
      <c r="C26" s="246"/>
      <c r="D26" s="246">
        <f>9450</f>
        <v>9450</v>
      </c>
      <c r="E26" s="219" t="s">
        <v>491</v>
      </c>
      <c r="F26" s="236" t="s">
        <v>547</v>
      </c>
      <c r="G26" s="245">
        <v>9450</v>
      </c>
    </row>
    <row r="27" spans="1:7" ht="19.5" customHeight="1">
      <c r="A27" s="252"/>
      <c r="B27" s="252"/>
      <c r="C27" s="252"/>
      <c r="D27" s="246">
        <v>22540.91</v>
      </c>
      <c r="E27" s="219" t="s">
        <v>129</v>
      </c>
      <c r="F27" s="236" t="s">
        <v>471</v>
      </c>
      <c r="G27" s="245">
        <v>22540.91</v>
      </c>
    </row>
    <row r="28" spans="1:7" ht="19.5" customHeight="1">
      <c r="A28" s="253"/>
      <c r="B28" s="253"/>
      <c r="C28" s="253"/>
      <c r="D28" s="249">
        <f>SUM(D19:D27)</f>
        <v>943403.9700000001</v>
      </c>
      <c r="E28" s="226" t="s">
        <v>19</v>
      </c>
      <c r="F28" s="236"/>
      <c r="G28" s="251">
        <f>SUM(G19:G27)</f>
        <v>943403.9700000001</v>
      </c>
    </row>
    <row r="29" spans="1:7" ht="19.5" customHeight="1">
      <c r="A29" s="245"/>
      <c r="B29" s="245"/>
      <c r="C29" s="245"/>
      <c r="D29" s="249">
        <f>SUM(D18+D28)</f>
        <v>2127360.25</v>
      </c>
      <c r="E29" s="226" t="s">
        <v>30</v>
      </c>
      <c r="F29" s="236"/>
      <c r="G29" s="251">
        <f>SUM(G18+G28)</f>
        <v>2127360.25</v>
      </c>
    </row>
    <row r="30" spans="1:7" ht="19.5" customHeight="1">
      <c r="A30" s="254"/>
      <c r="B30" s="254"/>
      <c r="C30" s="254"/>
      <c r="D30" s="255"/>
      <c r="E30" s="226"/>
      <c r="F30" s="256"/>
      <c r="G30" s="254"/>
    </row>
    <row r="31" spans="1:7" ht="19.5" customHeight="1">
      <c r="A31" s="254"/>
      <c r="B31" s="254"/>
      <c r="C31" s="254"/>
      <c r="D31" s="255"/>
      <c r="E31" s="226"/>
      <c r="F31" s="256"/>
      <c r="G31" s="254"/>
    </row>
    <row r="32" spans="1:7" ht="19.5" customHeight="1">
      <c r="A32" s="254"/>
      <c r="B32" s="254"/>
      <c r="C32" s="254"/>
      <c r="D32" s="255"/>
      <c r="E32" s="226"/>
      <c r="F32" s="256"/>
      <c r="G32" s="254"/>
    </row>
    <row r="33" spans="1:7" ht="19.5" customHeight="1">
      <c r="A33" s="254"/>
      <c r="B33" s="254"/>
      <c r="C33" s="254"/>
      <c r="D33" s="255"/>
      <c r="E33" s="226"/>
      <c r="F33" s="256"/>
      <c r="G33" s="254"/>
    </row>
    <row r="34" spans="1:7" ht="19.5" customHeight="1">
      <c r="A34" s="254"/>
      <c r="B34" s="254"/>
      <c r="C34" s="254"/>
      <c r="D34" s="255"/>
      <c r="E34" s="226"/>
      <c r="F34" s="256"/>
      <c r="G34" s="254"/>
    </row>
    <row r="35" spans="1:7" ht="19.5" customHeight="1">
      <c r="A35" s="254"/>
      <c r="B35" s="254"/>
      <c r="C35" s="254"/>
      <c r="D35" s="255"/>
      <c r="E35" s="226"/>
      <c r="F35" s="256"/>
      <c r="G35" s="254"/>
    </row>
    <row r="36" spans="1:7" ht="19.5" customHeight="1">
      <c r="A36" s="254"/>
      <c r="B36" s="254"/>
      <c r="C36" s="254"/>
      <c r="D36" s="255"/>
      <c r="E36" s="226"/>
      <c r="F36" s="256"/>
      <c r="G36" s="254"/>
    </row>
    <row r="37" spans="1:7" ht="19.5" customHeight="1">
      <c r="A37" s="254"/>
      <c r="B37" s="254"/>
      <c r="C37" s="254"/>
      <c r="D37" s="255"/>
      <c r="E37" s="221"/>
      <c r="F37" s="256"/>
      <c r="G37" s="254"/>
    </row>
    <row r="38" spans="1:7" ht="16.5" customHeight="1">
      <c r="A38" s="254"/>
      <c r="B38" s="254"/>
      <c r="C38" s="254"/>
      <c r="D38" s="255"/>
      <c r="E38" s="221" t="s">
        <v>35</v>
      </c>
      <c r="F38" s="256"/>
      <c r="G38" s="254"/>
    </row>
    <row r="39" spans="1:7" ht="16.5" customHeight="1">
      <c r="A39" s="257"/>
      <c r="B39" s="257"/>
      <c r="C39" s="257"/>
      <c r="D39" s="258"/>
      <c r="E39" s="222" t="s">
        <v>33</v>
      </c>
      <c r="F39" s="232"/>
      <c r="G39" s="244"/>
    </row>
    <row r="40" spans="1:7" ht="16.5" customHeight="1">
      <c r="A40" s="245">
        <v>698780</v>
      </c>
      <c r="B40" s="245"/>
      <c r="C40" s="245">
        <f>698780</f>
        <v>698780</v>
      </c>
      <c r="D40" s="259">
        <f>54652</f>
        <v>54652</v>
      </c>
      <c r="E40" s="219" t="s">
        <v>31</v>
      </c>
      <c r="F40" s="236" t="s">
        <v>456</v>
      </c>
      <c r="G40" s="259">
        <v>54652</v>
      </c>
    </row>
    <row r="41" spans="1:7" ht="16.5" customHeight="1">
      <c r="A41" s="245"/>
      <c r="B41" s="245"/>
      <c r="C41" s="245"/>
      <c r="D41" s="259">
        <f>611900</f>
        <v>611900</v>
      </c>
      <c r="E41" s="219" t="s">
        <v>492</v>
      </c>
      <c r="F41" s="236" t="s">
        <v>456</v>
      </c>
      <c r="G41" s="259">
        <v>611900</v>
      </c>
    </row>
    <row r="42" spans="1:7" ht="16.5" customHeight="1">
      <c r="A42" s="245"/>
      <c r="B42" s="245"/>
      <c r="C42" s="245"/>
      <c r="D42" s="259">
        <f>148000</f>
        <v>148000</v>
      </c>
      <c r="E42" s="219" t="s">
        <v>493</v>
      </c>
      <c r="F42" s="236" t="s">
        <v>456</v>
      </c>
      <c r="G42" s="259">
        <v>148000</v>
      </c>
    </row>
    <row r="43" spans="1:7" ht="16.5" customHeight="1">
      <c r="A43" s="245"/>
      <c r="B43" s="245"/>
      <c r="C43" s="245"/>
      <c r="D43" s="259">
        <f>450</f>
        <v>450</v>
      </c>
      <c r="E43" s="219" t="s">
        <v>494</v>
      </c>
      <c r="F43" s="236" t="s">
        <v>456</v>
      </c>
      <c r="G43" s="259">
        <v>450</v>
      </c>
    </row>
    <row r="44" spans="1:7" ht="16.5" customHeight="1">
      <c r="A44" s="245">
        <v>2839600</v>
      </c>
      <c r="B44" s="245"/>
      <c r="C44" s="245">
        <f>2839600</f>
        <v>2839600</v>
      </c>
      <c r="D44" s="259">
        <f>235860</f>
        <v>235860</v>
      </c>
      <c r="E44" s="219" t="s">
        <v>337</v>
      </c>
      <c r="F44" s="236" t="s">
        <v>457</v>
      </c>
      <c r="G44" s="259">
        <v>235860</v>
      </c>
    </row>
    <row r="45" spans="1:7" ht="16.5" customHeight="1">
      <c r="A45" s="237">
        <v>4848400</v>
      </c>
      <c r="B45" s="237"/>
      <c r="C45" s="237">
        <f>4848400</f>
        <v>4848400</v>
      </c>
      <c r="D45" s="259">
        <f>361120</f>
        <v>361120</v>
      </c>
      <c r="E45" s="219" t="s">
        <v>338</v>
      </c>
      <c r="F45" s="236" t="s">
        <v>458</v>
      </c>
      <c r="G45" s="259">
        <v>361120</v>
      </c>
    </row>
    <row r="46" spans="1:7" ht="16.5" customHeight="1">
      <c r="A46" s="237"/>
      <c r="B46" s="237"/>
      <c r="C46" s="237"/>
      <c r="D46" s="259">
        <f>16570</f>
        <v>16570</v>
      </c>
      <c r="E46" s="219" t="s">
        <v>500</v>
      </c>
      <c r="F46" s="236" t="s">
        <v>458</v>
      </c>
      <c r="G46" s="259">
        <v>16570</v>
      </c>
    </row>
    <row r="47" spans="1:7" ht="16.5" customHeight="1">
      <c r="A47" s="260">
        <v>182000</v>
      </c>
      <c r="B47" s="260"/>
      <c r="C47" s="260">
        <f>182000</f>
        <v>182000</v>
      </c>
      <c r="D47" s="259">
        <f>13285</f>
        <v>13285</v>
      </c>
      <c r="E47" s="219" t="s">
        <v>339</v>
      </c>
      <c r="F47" s="236" t="s">
        <v>458</v>
      </c>
      <c r="G47" s="259">
        <v>13285</v>
      </c>
    </row>
    <row r="48" spans="1:7" ht="16.5" customHeight="1">
      <c r="A48" s="245">
        <v>1792000</v>
      </c>
      <c r="B48" s="245"/>
      <c r="C48" s="245">
        <f>1792000</f>
        <v>1792000</v>
      </c>
      <c r="D48" s="259">
        <f>117670</f>
        <v>117670</v>
      </c>
      <c r="E48" s="219" t="s">
        <v>340</v>
      </c>
      <c r="F48" s="236" t="s">
        <v>458</v>
      </c>
      <c r="G48" s="259">
        <v>117670</v>
      </c>
    </row>
    <row r="49" spans="1:7" ht="16.5" customHeight="1">
      <c r="A49" s="245"/>
      <c r="B49" s="245"/>
      <c r="C49" s="245"/>
      <c r="D49" s="259">
        <f>9000</f>
        <v>9000</v>
      </c>
      <c r="E49" s="219" t="s">
        <v>501</v>
      </c>
      <c r="F49" s="236" t="s">
        <v>458</v>
      </c>
      <c r="G49" s="259">
        <v>9000</v>
      </c>
    </row>
    <row r="50" spans="1:7" ht="16.5" customHeight="1">
      <c r="A50" s="245">
        <v>1014000</v>
      </c>
      <c r="B50" s="245"/>
      <c r="C50" s="245">
        <f>1014000</f>
        <v>1014000</v>
      </c>
      <c r="D50" s="259">
        <v>33160</v>
      </c>
      <c r="E50" s="219" t="s">
        <v>6</v>
      </c>
      <c r="F50" s="236" t="s">
        <v>459</v>
      </c>
      <c r="G50" s="259">
        <v>33160</v>
      </c>
    </row>
    <row r="51" spans="1:7" ht="16.5" customHeight="1">
      <c r="A51" s="245">
        <v>3217600</v>
      </c>
      <c r="B51" s="245"/>
      <c r="C51" s="245">
        <f>3217600</f>
        <v>3217600</v>
      </c>
      <c r="D51" s="259">
        <v>18904</v>
      </c>
      <c r="E51" s="219" t="s">
        <v>7</v>
      </c>
      <c r="F51" s="236" t="s">
        <v>365</v>
      </c>
      <c r="G51" s="259">
        <v>18904</v>
      </c>
    </row>
    <row r="52" spans="1:7" ht="16.5" customHeight="1">
      <c r="A52" s="245">
        <v>1814570</v>
      </c>
      <c r="B52" s="245"/>
      <c r="C52" s="245">
        <f>1814570</f>
        <v>1814570</v>
      </c>
      <c r="D52" s="259">
        <v>25396</v>
      </c>
      <c r="E52" s="219" t="s">
        <v>8</v>
      </c>
      <c r="F52" s="236" t="s">
        <v>460</v>
      </c>
      <c r="G52" s="259">
        <v>25396</v>
      </c>
    </row>
    <row r="53" spans="1:7" ht="16.5" customHeight="1">
      <c r="A53" s="245">
        <v>376000</v>
      </c>
      <c r="B53" s="245"/>
      <c r="C53" s="245">
        <f>376000</f>
        <v>376000</v>
      </c>
      <c r="D53" s="259">
        <f>22325.18</f>
        <v>22325.18</v>
      </c>
      <c r="E53" s="219" t="s">
        <v>9</v>
      </c>
      <c r="F53" s="236" t="s">
        <v>461</v>
      </c>
      <c r="G53" s="259">
        <v>22325.18</v>
      </c>
    </row>
    <row r="54" spans="1:7" ht="16.5" customHeight="1">
      <c r="A54" s="245">
        <v>1158600</v>
      </c>
      <c r="B54" s="245"/>
      <c r="C54" s="245">
        <f>1158600</f>
        <v>1158600</v>
      </c>
      <c r="D54" s="259">
        <v>2050</v>
      </c>
      <c r="E54" s="219" t="s">
        <v>54</v>
      </c>
      <c r="F54" s="236" t="s">
        <v>462</v>
      </c>
      <c r="G54" s="259">
        <v>2050</v>
      </c>
    </row>
    <row r="55" spans="1:7" ht="16.5" customHeight="1">
      <c r="A55" s="245">
        <v>2928000</v>
      </c>
      <c r="B55" s="245"/>
      <c r="C55" s="245">
        <f>2928000</f>
        <v>2928000</v>
      </c>
      <c r="D55" s="259"/>
      <c r="E55" s="219" t="s">
        <v>55</v>
      </c>
      <c r="F55" s="236" t="s">
        <v>349</v>
      </c>
      <c r="G55" s="259"/>
    </row>
    <row r="56" spans="1:7" ht="16.5" customHeight="1">
      <c r="A56" s="245">
        <v>2305000</v>
      </c>
      <c r="B56" s="245"/>
      <c r="C56" s="245">
        <v>2305000</v>
      </c>
      <c r="D56" s="259"/>
      <c r="E56" s="219" t="s">
        <v>32</v>
      </c>
      <c r="F56" s="236" t="s">
        <v>463</v>
      </c>
      <c r="G56" s="259"/>
    </row>
    <row r="57" spans="1:7" ht="16.5" customHeight="1">
      <c r="A57" s="245"/>
      <c r="B57" s="245"/>
      <c r="C57" s="245"/>
      <c r="D57" s="259"/>
      <c r="E57" s="219"/>
      <c r="F57" s="236"/>
      <c r="G57" s="259"/>
    </row>
    <row r="58" spans="1:7" ht="16.5" customHeight="1">
      <c r="A58" s="251">
        <f>SUM(A40:A57)</f>
        <v>23174550</v>
      </c>
      <c r="B58" s="251">
        <f>SUM(B41:B56)</f>
        <v>0</v>
      </c>
      <c r="C58" s="251">
        <f>SUM(C40:C57)</f>
        <v>23174550</v>
      </c>
      <c r="D58" s="261">
        <f>SUM(D40:D57)</f>
        <v>1670342.18</v>
      </c>
      <c r="E58" s="226" t="s">
        <v>19</v>
      </c>
      <c r="F58" s="236"/>
      <c r="G58" s="251">
        <f>SUM(G40:G57)</f>
        <v>1670342.18</v>
      </c>
    </row>
    <row r="59" spans="1:7" ht="15.75" customHeight="1">
      <c r="A59" s="245"/>
      <c r="B59" s="245"/>
      <c r="C59" s="245"/>
      <c r="D59" s="259">
        <f>10400</f>
        <v>10400</v>
      </c>
      <c r="E59" s="219" t="s">
        <v>434</v>
      </c>
      <c r="F59" s="236" t="s">
        <v>464</v>
      </c>
      <c r="G59" s="245">
        <v>10400</v>
      </c>
    </row>
    <row r="60" spans="1:7" ht="16.5" customHeight="1">
      <c r="A60" s="245"/>
      <c r="B60" s="245"/>
      <c r="C60" s="245"/>
      <c r="D60" s="246">
        <f>785920</f>
        <v>785920</v>
      </c>
      <c r="E60" s="219" t="s">
        <v>477</v>
      </c>
      <c r="F60" s="236" t="s">
        <v>478</v>
      </c>
      <c r="G60" s="245">
        <v>785920</v>
      </c>
    </row>
    <row r="61" spans="1:7" ht="16.5" customHeight="1">
      <c r="A61" s="245"/>
      <c r="B61" s="245"/>
      <c r="C61" s="245"/>
      <c r="D61" s="246"/>
      <c r="E61" s="219" t="s">
        <v>479</v>
      </c>
      <c r="F61" s="236" t="s">
        <v>480</v>
      </c>
      <c r="G61" s="245"/>
    </row>
    <row r="62" spans="1:7" ht="16.5" customHeight="1">
      <c r="A62" s="245"/>
      <c r="B62" s="245"/>
      <c r="C62" s="245"/>
      <c r="D62" s="259">
        <f>154000</f>
        <v>154000</v>
      </c>
      <c r="E62" s="219" t="s">
        <v>468</v>
      </c>
      <c r="F62" s="236" t="s">
        <v>466</v>
      </c>
      <c r="G62" s="259">
        <v>154000</v>
      </c>
    </row>
    <row r="63" spans="1:7" ht="16.5" customHeight="1">
      <c r="A63" s="245"/>
      <c r="B63" s="245"/>
      <c r="C63" s="245"/>
      <c r="D63" s="259">
        <f>231482.61</f>
        <v>231482.61</v>
      </c>
      <c r="E63" s="219" t="s">
        <v>135</v>
      </c>
      <c r="F63" s="236" t="s">
        <v>471</v>
      </c>
      <c r="G63" s="259">
        <v>231482.61</v>
      </c>
    </row>
    <row r="64" spans="1:7" ht="16.5" customHeight="1">
      <c r="A64" s="245"/>
      <c r="B64" s="245"/>
      <c r="C64" s="245"/>
      <c r="D64" s="259">
        <f>399873.04</f>
        <v>399873.04</v>
      </c>
      <c r="E64" s="219" t="s">
        <v>435</v>
      </c>
      <c r="F64" s="236" t="s">
        <v>472</v>
      </c>
      <c r="G64" s="259">
        <v>399873.04</v>
      </c>
    </row>
    <row r="65" spans="1:7" ht="16.5" customHeight="1">
      <c r="A65" s="245"/>
      <c r="B65" s="245"/>
      <c r="C65" s="245"/>
      <c r="D65" s="259"/>
      <c r="E65" s="219"/>
      <c r="F65" s="236"/>
      <c r="G65" s="259">
        <v>0</v>
      </c>
    </row>
    <row r="66" spans="1:7" ht="16.5" customHeight="1">
      <c r="A66" s="245"/>
      <c r="B66" s="245"/>
      <c r="C66" s="245"/>
      <c r="D66" s="259"/>
      <c r="E66" s="219"/>
      <c r="F66" s="236"/>
      <c r="G66" s="259"/>
    </row>
    <row r="67" spans="1:7" ht="16.5" customHeight="1">
      <c r="A67" s="245"/>
      <c r="B67" s="245"/>
      <c r="C67" s="245"/>
      <c r="D67" s="259"/>
      <c r="E67" s="219"/>
      <c r="F67" s="236"/>
      <c r="G67" s="259"/>
    </row>
    <row r="68" spans="1:7" ht="16.5" customHeight="1">
      <c r="A68" s="245"/>
      <c r="B68" s="245"/>
      <c r="C68" s="245"/>
      <c r="D68" s="259"/>
      <c r="E68" s="220"/>
      <c r="F68" s="236"/>
      <c r="G68" s="259"/>
    </row>
    <row r="69" spans="1:7" ht="16.5" customHeight="1">
      <c r="A69" s="245"/>
      <c r="B69" s="245"/>
      <c r="C69" s="245"/>
      <c r="D69" s="249">
        <f>SUM(D59:D68)</f>
        <v>1581675.65</v>
      </c>
      <c r="E69" s="226" t="s">
        <v>19</v>
      </c>
      <c r="F69" s="236"/>
      <c r="G69" s="251">
        <f>SUM(G59:G68)</f>
        <v>1581675.65</v>
      </c>
    </row>
    <row r="70" spans="1:7" ht="16.5" customHeight="1">
      <c r="A70" s="245"/>
      <c r="B70" s="245"/>
      <c r="C70" s="245"/>
      <c r="D70" s="244">
        <f>SUM(D69,D58)</f>
        <v>3252017.83</v>
      </c>
      <c r="E70" s="226" t="s">
        <v>447</v>
      </c>
      <c r="F70" s="236"/>
      <c r="G70" s="244">
        <f>SUM(G69,G58)</f>
        <v>3252017.83</v>
      </c>
    </row>
    <row r="71" spans="1:7" ht="16.5" customHeight="1">
      <c r="A71" s="245"/>
      <c r="B71" s="245"/>
      <c r="C71" s="245"/>
      <c r="D71" s="249">
        <f>SUM(D29-D70)</f>
        <v>-1124657.58</v>
      </c>
      <c r="E71" s="226" t="s">
        <v>448</v>
      </c>
      <c r="F71" s="236"/>
      <c r="G71" s="251">
        <f>SUM(G29-G70)</f>
        <v>-1124657.58</v>
      </c>
    </row>
    <row r="72" spans="1:7" ht="16.5" customHeight="1" thickBot="1">
      <c r="A72" s="262"/>
      <c r="B72" s="245"/>
      <c r="C72" s="245"/>
      <c r="D72" s="263">
        <f>D8+D71</f>
        <v>31495379.33</v>
      </c>
      <c r="E72" s="224" t="s">
        <v>449</v>
      </c>
      <c r="F72" s="264"/>
      <c r="G72" s="263">
        <f>G8+G71</f>
        <v>31495379.33</v>
      </c>
    </row>
    <row r="73" spans="1:7" ht="16.5" customHeight="1" thickTop="1">
      <c r="A73" s="254"/>
      <c r="B73" s="254"/>
      <c r="C73" s="254"/>
      <c r="D73" s="255"/>
      <c r="E73" s="223"/>
      <c r="F73" s="256"/>
      <c r="G73" s="255"/>
    </row>
    <row r="74" spans="1:7" ht="16.5" customHeight="1">
      <c r="A74" s="254"/>
      <c r="B74" s="254"/>
      <c r="C74" s="254"/>
      <c r="D74" s="255"/>
      <c r="E74" s="223"/>
      <c r="F74" s="256"/>
      <c r="G74" s="255"/>
    </row>
    <row r="75" spans="1:7" ht="16.5" customHeight="1">
      <c r="A75" s="254"/>
      <c r="B75" s="254"/>
      <c r="C75" s="254"/>
      <c r="D75" s="255"/>
      <c r="E75" s="223"/>
      <c r="F75" s="256"/>
      <c r="G75" s="255"/>
    </row>
    <row r="76" spans="1:7" ht="16.5" customHeight="1">
      <c r="A76" s="254"/>
      <c r="B76" s="254"/>
      <c r="C76" s="254"/>
      <c r="D76" s="255"/>
      <c r="E76" s="223"/>
      <c r="F76" s="256"/>
      <c r="G76" s="255"/>
    </row>
    <row r="77" spans="1:7" ht="16.5" customHeight="1">
      <c r="A77" s="254"/>
      <c r="B77" s="254"/>
      <c r="C77" s="254"/>
      <c r="D77" s="255"/>
      <c r="E77" s="223"/>
      <c r="F77" s="256"/>
      <c r="G77" s="255"/>
    </row>
    <row r="78" spans="1:7" ht="16.5" customHeight="1">
      <c r="A78" s="254"/>
      <c r="B78" s="254"/>
      <c r="C78" s="254"/>
      <c r="D78" s="255"/>
      <c r="E78" s="223"/>
      <c r="F78" s="256"/>
      <c r="G78" s="255"/>
    </row>
    <row r="79" spans="1:7" ht="16.5" customHeight="1">
      <c r="A79" s="254"/>
      <c r="B79" s="254"/>
      <c r="C79" s="254"/>
      <c r="D79" s="255"/>
      <c r="E79" s="223"/>
      <c r="F79" s="256"/>
      <c r="G79" s="255"/>
    </row>
    <row r="80" spans="1:7" ht="16.5" customHeight="1">
      <c r="A80" s="254"/>
      <c r="B80" s="254"/>
      <c r="C80" s="254"/>
      <c r="D80" s="255"/>
      <c r="E80" s="223"/>
      <c r="F80" s="256"/>
      <c r="G80" s="255"/>
    </row>
    <row r="81" spans="1:7" ht="16.5" customHeight="1">
      <c r="A81" s="254"/>
      <c r="B81" s="254"/>
      <c r="C81" s="254"/>
      <c r="D81" s="255"/>
      <c r="E81" s="223"/>
      <c r="F81" s="256"/>
      <c r="G81" s="255"/>
    </row>
    <row r="82" spans="1:7" ht="16.5" customHeight="1">
      <c r="A82" s="254"/>
      <c r="B82" s="254"/>
      <c r="C82" s="254"/>
      <c r="D82" s="255"/>
      <c r="E82" s="223"/>
      <c r="F82" s="256"/>
      <c r="G82" s="255"/>
    </row>
    <row r="83" spans="1:7" ht="16.5" customHeight="1">
      <c r="A83" s="254"/>
      <c r="B83" s="254"/>
      <c r="C83" s="254"/>
      <c r="D83" s="255"/>
      <c r="E83" s="223"/>
      <c r="F83" s="256"/>
      <c r="G83" s="255"/>
    </row>
    <row r="84" spans="1:7" ht="16.5" customHeight="1">
      <c r="A84" s="219" t="s">
        <v>12</v>
      </c>
      <c r="B84" s="219"/>
      <c r="C84" s="219"/>
      <c r="D84" s="265"/>
      <c r="E84" s="225"/>
      <c r="F84" s="225"/>
      <c r="G84" s="225"/>
    </row>
    <row r="85" spans="1:7" ht="16.5" customHeight="1">
      <c r="A85" s="266" t="s">
        <v>13</v>
      </c>
      <c r="B85" s="266"/>
      <c r="C85" s="266"/>
      <c r="D85" s="265"/>
      <c r="E85" s="225"/>
      <c r="F85" s="225"/>
      <c r="G85" s="267"/>
    </row>
    <row r="86" spans="1:7" ht="16.5" customHeight="1">
      <c r="A86" s="266"/>
      <c r="B86" s="266"/>
      <c r="C86" s="266"/>
      <c r="D86" s="265"/>
      <c r="E86" s="225"/>
      <c r="F86" s="225"/>
      <c r="G86" s="267"/>
    </row>
    <row r="87" spans="1:7" ht="16.5" customHeight="1">
      <c r="A87" s="266"/>
      <c r="B87" s="266"/>
      <c r="C87" s="266"/>
      <c r="D87" s="265"/>
      <c r="E87" s="225"/>
      <c r="F87" s="225"/>
      <c r="G87" s="267"/>
    </row>
    <row r="88" spans="1:7" ht="16.5" customHeight="1">
      <c r="A88" s="309" t="s">
        <v>16</v>
      </c>
      <c r="B88" s="309"/>
      <c r="C88" s="309"/>
      <c r="D88" s="309"/>
      <c r="E88" s="309"/>
      <c r="F88" s="309"/>
      <c r="G88" s="309"/>
    </row>
    <row r="89" spans="1:7" ht="16.5" customHeight="1">
      <c r="A89" s="309" t="s">
        <v>90</v>
      </c>
      <c r="B89" s="309"/>
      <c r="C89" s="309"/>
      <c r="D89" s="309"/>
      <c r="E89" s="309"/>
      <c r="F89" s="309"/>
      <c r="G89" s="309"/>
    </row>
    <row r="90" spans="1:7" ht="16.5" customHeight="1">
      <c r="A90" s="226"/>
      <c r="B90" s="226"/>
      <c r="C90" s="226"/>
      <c r="D90" s="226"/>
      <c r="E90" s="226"/>
      <c r="F90" s="226"/>
      <c r="G90" s="226"/>
    </row>
    <row r="91" spans="1:7" ht="16.5" customHeight="1">
      <c r="A91" s="309" t="s">
        <v>14</v>
      </c>
      <c r="B91" s="309"/>
      <c r="C91" s="309"/>
      <c r="D91" s="309"/>
      <c r="E91" s="309"/>
      <c r="F91" s="309"/>
      <c r="G91" s="309"/>
    </row>
    <row r="92" spans="1:7" ht="16.5" customHeight="1">
      <c r="A92" s="226"/>
      <c r="B92" s="226"/>
      <c r="C92" s="226"/>
      <c r="D92" s="226"/>
      <c r="E92" s="226"/>
      <c r="F92" s="226"/>
      <c r="G92" s="226"/>
    </row>
    <row r="93" spans="1:7" ht="16.5" customHeight="1">
      <c r="A93" s="226"/>
      <c r="B93" s="226"/>
      <c r="C93" s="226"/>
      <c r="D93" s="226"/>
      <c r="E93" s="226"/>
      <c r="F93" s="226"/>
      <c r="G93" s="226"/>
    </row>
    <row r="94" spans="1:7" ht="16.5" customHeight="1">
      <c r="A94" s="309" t="s">
        <v>125</v>
      </c>
      <c r="B94" s="309"/>
      <c r="C94" s="309"/>
      <c r="D94" s="309"/>
      <c r="E94" s="309"/>
      <c r="F94" s="309"/>
      <c r="G94" s="309"/>
    </row>
    <row r="95" spans="1:7" ht="16.5" customHeight="1">
      <c r="A95" s="309" t="s">
        <v>15</v>
      </c>
      <c r="B95" s="309"/>
      <c r="C95" s="309"/>
      <c r="D95" s="309"/>
      <c r="E95" s="309"/>
      <c r="F95" s="309"/>
      <c r="G95" s="309"/>
    </row>
    <row r="96" spans="1:7" ht="16.5" customHeight="1">
      <c r="A96" s="305">
        <v>240635</v>
      </c>
      <c r="B96" s="305"/>
      <c r="C96" s="305"/>
      <c r="D96" s="305"/>
      <c r="E96" s="305"/>
      <c r="F96" s="305"/>
      <c r="G96" s="305"/>
    </row>
    <row r="97" spans="1:7" ht="18" customHeight="1">
      <c r="A97" s="227"/>
      <c r="B97" s="227"/>
      <c r="C97" s="227"/>
      <c r="D97" s="227"/>
      <c r="E97" s="227"/>
      <c r="F97" s="227"/>
      <c r="G97" s="227"/>
    </row>
    <row r="98" spans="1:7" ht="18" customHeight="1">
      <c r="A98" s="227"/>
      <c r="B98" s="227"/>
      <c r="C98" s="227"/>
      <c r="D98" s="227"/>
      <c r="E98" s="227"/>
      <c r="F98" s="227"/>
      <c r="G98" s="227"/>
    </row>
    <row r="99" spans="1:7" ht="18" customHeight="1">
      <c r="A99" s="227"/>
      <c r="B99" s="227"/>
      <c r="C99" s="227"/>
      <c r="D99" s="227"/>
      <c r="E99" s="227"/>
      <c r="F99" s="227"/>
      <c r="G99" s="227"/>
    </row>
    <row r="100" spans="1:7" ht="18" customHeight="1">
      <c r="A100" s="227"/>
      <c r="B100" s="227"/>
      <c r="C100" s="227"/>
      <c r="D100" s="227"/>
      <c r="E100" s="227"/>
      <c r="F100" s="227"/>
      <c r="G100" s="227"/>
    </row>
    <row r="101" spans="1:7" ht="18" customHeight="1">
      <c r="A101" s="227"/>
      <c r="B101" s="227"/>
      <c r="C101" s="227"/>
      <c r="D101" s="227"/>
      <c r="E101" s="227"/>
      <c r="F101" s="227"/>
      <c r="G101" s="227"/>
    </row>
    <row r="102" spans="1:7" ht="18" customHeight="1">
      <c r="A102" s="227"/>
      <c r="B102" s="227"/>
      <c r="C102" s="227"/>
      <c r="D102" s="227"/>
      <c r="E102" s="227"/>
      <c r="F102" s="227"/>
      <c r="G102" s="227"/>
    </row>
    <row r="103" spans="1:7" ht="18" customHeight="1">
      <c r="A103" s="227"/>
      <c r="B103" s="227"/>
      <c r="C103" s="227"/>
      <c r="D103" s="227"/>
      <c r="E103" s="227"/>
      <c r="F103" s="227"/>
      <c r="G103" s="227"/>
    </row>
    <row r="104" spans="1:7" ht="18" customHeight="1">
      <c r="A104" s="227"/>
      <c r="B104" s="227"/>
      <c r="C104" s="227"/>
      <c r="D104" s="227"/>
      <c r="E104" s="227"/>
      <c r="F104" s="227"/>
      <c r="G104" s="227"/>
    </row>
    <row r="105" spans="1:7" ht="18" customHeight="1">
      <c r="A105" s="227"/>
      <c r="B105" s="227"/>
      <c r="C105" s="227"/>
      <c r="D105" s="227"/>
      <c r="E105" s="227"/>
      <c r="F105" s="227"/>
      <c r="G105" s="227"/>
    </row>
    <row r="106" spans="1:7" ht="18" customHeight="1">
      <c r="A106" s="227"/>
      <c r="B106" s="227"/>
      <c r="C106" s="227"/>
      <c r="D106" s="227"/>
      <c r="E106" s="227"/>
      <c r="F106" s="227"/>
      <c r="G106" s="227"/>
    </row>
    <row r="107" spans="1:7" ht="18" customHeight="1">
      <c r="A107" s="227"/>
      <c r="B107" s="227"/>
      <c r="C107" s="227"/>
      <c r="D107" s="227"/>
      <c r="E107" s="227"/>
      <c r="F107" s="227"/>
      <c r="G107" s="227"/>
    </row>
    <row r="108" spans="1:7" ht="18" customHeight="1">
      <c r="A108" s="227"/>
      <c r="B108" s="227"/>
      <c r="C108" s="227"/>
      <c r="D108" s="227"/>
      <c r="E108" s="227"/>
      <c r="F108" s="227"/>
      <c r="G108" s="227"/>
    </row>
    <row r="109" spans="1:7" ht="18" customHeight="1">
      <c r="A109" s="227"/>
      <c r="B109" s="227"/>
      <c r="C109" s="227"/>
      <c r="D109" s="227"/>
      <c r="E109" s="227"/>
      <c r="F109" s="227"/>
      <c r="G109" s="227"/>
    </row>
    <row r="110" spans="1:7" ht="18" customHeight="1">
      <c r="A110" s="227"/>
      <c r="B110" s="227"/>
      <c r="C110" s="227"/>
      <c r="D110" s="227"/>
      <c r="E110" s="227"/>
      <c r="F110" s="227"/>
      <c r="G110" s="227"/>
    </row>
    <row r="111" spans="1:7" ht="18" customHeight="1">
      <c r="A111" s="227"/>
      <c r="B111" s="227"/>
      <c r="C111" s="227"/>
      <c r="D111" s="227"/>
      <c r="E111" s="227"/>
      <c r="F111" s="227"/>
      <c r="G111" s="227"/>
    </row>
    <row r="112" spans="1:7" ht="18" customHeight="1">
      <c r="A112" s="227"/>
      <c r="B112" s="227"/>
      <c r="C112" s="227"/>
      <c r="D112" s="227"/>
      <c r="E112" s="227"/>
      <c r="F112" s="227"/>
      <c r="G112" s="227"/>
    </row>
    <row r="113" spans="1:7" ht="18" customHeight="1">
      <c r="A113" s="227"/>
      <c r="B113" s="227"/>
      <c r="C113" s="227"/>
      <c r="D113" s="227"/>
      <c r="E113" s="227"/>
      <c r="F113" s="227"/>
      <c r="G113" s="227"/>
    </row>
    <row r="114" spans="1:7" ht="18" customHeight="1">
      <c r="A114" s="227"/>
      <c r="B114" s="227"/>
      <c r="C114" s="227"/>
      <c r="D114" s="227"/>
      <c r="E114" s="227"/>
      <c r="F114" s="227"/>
      <c r="G114" s="227"/>
    </row>
    <row r="115" spans="1:7" ht="18" customHeight="1">
      <c r="A115" s="227"/>
      <c r="B115" s="227"/>
      <c r="C115" s="227"/>
      <c r="D115" s="227"/>
      <c r="E115" s="227"/>
      <c r="F115" s="227"/>
      <c r="G115" s="227"/>
    </row>
    <row r="116" spans="1:7" ht="18" customHeight="1">
      <c r="A116" s="227"/>
      <c r="B116" s="227"/>
      <c r="C116" s="227"/>
      <c r="D116" s="227"/>
      <c r="E116" s="227"/>
      <c r="F116" s="227"/>
      <c r="G116" s="227"/>
    </row>
    <row r="117" spans="1:7" ht="18" customHeight="1">
      <c r="A117" s="227"/>
      <c r="B117" s="227"/>
      <c r="C117" s="227"/>
      <c r="D117" s="227"/>
      <c r="E117" s="227"/>
      <c r="F117" s="227"/>
      <c r="G117" s="227"/>
    </row>
    <row r="118" spans="1:7" ht="18" customHeight="1">
      <c r="A118" s="227"/>
      <c r="B118" s="227"/>
      <c r="C118" s="227"/>
      <c r="D118" s="227"/>
      <c r="E118" s="227"/>
      <c r="F118" s="227"/>
      <c r="G118" s="227"/>
    </row>
    <row r="119" spans="1:7" ht="18" customHeight="1">
      <c r="A119" s="227"/>
      <c r="B119" s="227"/>
      <c r="C119" s="227"/>
      <c r="D119" s="227"/>
      <c r="E119" s="227"/>
      <c r="F119" s="227"/>
      <c r="G119" s="227"/>
    </row>
    <row r="120" spans="1:7" ht="18" customHeight="1">
      <c r="A120" s="227"/>
      <c r="B120" s="227"/>
      <c r="C120" s="227"/>
      <c r="D120" s="227"/>
      <c r="E120" s="227"/>
      <c r="F120" s="227"/>
      <c r="G120" s="227"/>
    </row>
    <row r="121" spans="1:7" ht="18" customHeight="1">
      <c r="A121" s="227"/>
      <c r="B121" s="227"/>
      <c r="C121" s="227"/>
      <c r="D121" s="227"/>
      <c r="E121" s="227"/>
      <c r="F121" s="227"/>
      <c r="G121" s="227"/>
    </row>
    <row r="122" spans="1:7" ht="18" customHeight="1">
      <c r="A122" s="227"/>
      <c r="B122" s="227"/>
      <c r="C122" s="227"/>
      <c r="D122" s="227"/>
      <c r="E122" s="227"/>
      <c r="F122" s="227"/>
      <c r="G122" s="227"/>
    </row>
    <row r="123" spans="1:7" ht="18" customHeight="1">
      <c r="A123" s="227"/>
      <c r="B123" s="227"/>
      <c r="C123" s="227"/>
      <c r="D123" s="227"/>
      <c r="E123" s="227"/>
      <c r="F123" s="227"/>
      <c r="G123" s="227"/>
    </row>
    <row r="124" spans="1:7" ht="18" customHeight="1">
      <c r="A124" s="227"/>
      <c r="B124" s="227"/>
      <c r="C124" s="227"/>
      <c r="D124" s="227"/>
      <c r="E124" s="227"/>
      <c r="F124" s="227"/>
      <c r="G124" s="227"/>
    </row>
    <row r="125" spans="1:7" ht="18" customHeight="1">
      <c r="A125" s="227"/>
      <c r="B125" s="227"/>
      <c r="C125" s="227"/>
      <c r="D125" s="227"/>
      <c r="E125" s="227"/>
      <c r="F125" s="227"/>
      <c r="G125" s="227"/>
    </row>
    <row r="126" spans="1:7" ht="18" customHeight="1">
      <c r="A126" s="305" t="s">
        <v>64</v>
      </c>
      <c r="B126" s="305"/>
      <c r="C126" s="305"/>
      <c r="D126" s="305"/>
      <c r="E126" s="305"/>
      <c r="F126" s="305"/>
      <c r="G126" s="305"/>
    </row>
    <row r="127" spans="1:7" ht="19.5" customHeight="1">
      <c r="A127" s="306" t="s">
        <v>450</v>
      </c>
      <c r="B127" s="306"/>
      <c r="C127" s="306"/>
      <c r="D127" s="306"/>
      <c r="E127" s="306"/>
      <c r="F127" s="306"/>
      <c r="G127" s="306"/>
    </row>
    <row r="128" spans="1:7" ht="19.5" customHeight="1">
      <c r="A128" s="306" t="s">
        <v>515</v>
      </c>
      <c r="B128" s="306"/>
      <c r="C128" s="306"/>
      <c r="D128" s="306"/>
      <c r="E128" s="306"/>
      <c r="F128" s="306"/>
      <c r="G128" s="306"/>
    </row>
    <row r="129" spans="1:7" ht="19.5" customHeight="1">
      <c r="A129" s="307" t="s">
        <v>451</v>
      </c>
      <c r="B129" s="307"/>
      <c r="C129" s="307"/>
      <c r="D129" s="307"/>
      <c r="E129" s="307"/>
      <c r="F129" s="307"/>
      <c r="G129" s="307"/>
    </row>
    <row r="130" spans="1:7" ht="19.5" customHeight="1">
      <c r="A130" s="270"/>
      <c r="B130" s="270"/>
      <c r="C130" s="270"/>
      <c r="D130" s="270"/>
      <c r="E130" s="270"/>
      <c r="F130" s="270"/>
      <c r="G130" s="228" t="s">
        <v>70</v>
      </c>
    </row>
    <row r="131" spans="1:7" ht="19.5" customHeight="1">
      <c r="A131" s="304" t="s">
        <v>127</v>
      </c>
      <c r="B131" s="304"/>
      <c r="C131" s="304"/>
      <c r="D131" s="304"/>
      <c r="E131" s="228"/>
      <c r="F131" s="228"/>
      <c r="G131" s="224">
        <v>6141.11</v>
      </c>
    </row>
    <row r="132" spans="1:7" ht="19.5" customHeight="1">
      <c r="A132" s="304" t="s">
        <v>17</v>
      </c>
      <c r="B132" s="304"/>
      <c r="C132" s="229"/>
      <c r="D132" s="229"/>
      <c r="E132" s="228"/>
      <c r="F132" s="228"/>
      <c r="G132" s="224">
        <v>9723</v>
      </c>
    </row>
    <row r="133" spans="1:7" ht="19.5" customHeight="1">
      <c r="A133" s="229" t="s">
        <v>368</v>
      </c>
      <c r="B133" s="229"/>
      <c r="C133" s="229"/>
      <c r="D133" s="229"/>
      <c r="E133" s="228"/>
      <c r="F133" s="228"/>
      <c r="G133" s="224">
        <v>34</v>
      </c>
    </row>
    <row r="134" spans="1:7" ht="19.5" customHeight="1">
      <c r="A134" s="229" t="s">
        <v>18</v>
      </c>
      <c r="B134" s="229"/>
      <c r="C134" s="229"/>
      <c r="D134" s="229"/>
      <c r="E134" s="228"/>
      <c r="F134" s="228"/>
      <c r="G134" s="224">
        <v>40.8</v>
      </c>
    </row>
    <row r="135" spans="1:7" ht="19.5" customHeight="1">
      <c r="A135" s="268" t="s">
        <v>393</v>
      </c>
      <c r="B135" s="268"/>
      <c r="C135" s="268"/>
      <c r="D135" s="219"/>
      <c r="E135" s="219"/>
      <c r="F135" s="265"/>
      <c r="G135" s="254">
        <v>6602</v>
      </c>
    </row>
    <row r="136" spans="1:7" ht="19.5" customHeight="1">
      <c r="A136" s="304"/>
      <c r="B136" s="304"/>
      <c r="C136" s="304"/>
      <c r="D136" s="219"/>
      <c r="E136" s="219"/>
      <c r="F136" s="265"/>
      <c r="G136" s="254"/>
    </row>
    <row r="137" spans="1:7" ht="19.5" customHeight="1" thickBot="1">
      <c r="A137" s="304"/>
      <c r="B137" s="304"/>
      <c r="C137" s="304"/>
      <c r="D137" s="219"/>
      <c r="E137" s="219"/>
      <c r="F137" s="265" t="s">
        <v>19</v>
      </c>
      <c r="G137" s="275">
        <f>SUM(G131:G136)</f>
        <v>22540.91</v>
      </c>
    </row>
    <row r="138" spans="1:7" ht="19.5" customHeight="1" thickTop="1">
      <c r="A138" s="304"/>
      <c r="B138" s="304"/>
      <c r="C138" s="304"/>
      <c r="D138" s="219"/>
      <c r="E138" s="219"/>
      <c r="F138" s="265"/>
      <c r="G138" s="254"/>
    </row>
    <row r="139" spans="1:7" ht="19.5" customHeight="1">
      <c r="A139" s="228"/>
      <c r="B139" s="228"/>
      <c r="C139" s="228"/>
      <c r="D139" s="228"/>
      <c r="E139" s="219"/>
      <c r="F139" s="265"/>
      <c r="G139" s="269"/>
    </row>
    <row r="140" spans="1:7" ht="19.5" customHeight="1">
      <c r="A140" s="305" t="s">
        <v>64</v>
      </c>
      <c r="B140" s="305"/>
      <c r="C140" s="305"/>
      <c r="D140" s="305"/>
      <c r="E140" s="305"/>
      <c r="F140" s="305"/>
      <c r="G140" s="305"/>
    </row>
    <row r="141" spans="1:7" ht="19.5" customHeight="1">
      <c r="A141" s="306" t="s">
        <v>450</v>
      </c>
      <c r="B141" s="306"/>
      <c r="C141" s="306"/>
      <c r="D141" s="306"/>
      <c r="E141" s="306"/>
      <c r="F141" s="306"/>
      <c r="G141" s="306"/>
    </row>
    <row r="142" spans="1:7" ht="19.5" customHeight="1">
      <c r="A142" s="306" t="s">
        <v>515</v>
      </c>
      <c r="B142" s="306"/>
      <c r="C142" s="306"/>
      <c r="D142" s="306"/>
      <c r="E142" s="306"/>
      <c r="F142" s="306"/>
      <c r="G142" s="306"/>
    </row>
    <row r="143" spans="1:7" ht="19.5" customHeight="1">
      <c r="A143" s="307" t="s">
        <v>452</v>
      </c>
      <c r="B143" s="307"/>
      <c r="C143" s="307"/>
      <c r="D143" s="307"/>
      <c r="E143" s="307"/>
      <c r="F143" s="307"/>
      <c r="G143" s="307"/>
    </row>
    <row r="144" spans="1:7" ht="19.5" customHeight="1">
      <c r="A144" s="270"/>
      <c r="B144" s="270"/>
      <c r="C144" s="270"/>
      <c r="D144" s="270"/>
      <c r="E144" s="270"/>
      <c r="F144" s="270"/>
      <c r="G144" s="228" t="s">
        <v>70</v>
      </c>
    </row>
    <row r="145" spans="1:7" ht="19.5" customHeight="1">
      <c r="A145" s="304" t="s">
        <v>127</v>
      </c>
      <c r="B145" s="304"/>
      <c r="C145" s="304"/>
      <c r="D145" s="304"/>
      <c r="E145" s="228"/>
      <c r="F145" s="228"/>
      <c r="G145" s="224">
        <v>6141.11</v>
      </c>
    </row>
    <row r="146" spans="1:7" ht="19.5" customHeight="1">
      <c r="A146" s="229" t="s">
        <v>469</v>
      </c>
      <c r="B146" s="229"/>
      <c r="C146" s="229"/>
      <c r="D146" s="229"/>
      <c r="E146" s="228"/>
      <c r="F146" s="228"/>
      <c r="G146" s="224">
        <v>9100</v>
      </c>
    </row>
    <row r="147" spans="1:7" ht="19.5" customHeight="1">
      <c r="A147" s="229" t="s">
        <v>393</v>
      </c>
      <c r="B147" s="229"/>
      <c r="C147" s="229"/>
      <c r="D147" s="229"/>
      <c r="E147" s="228"/>
      <c r="F147" s="228"/>
      <c r="G147" s="224">
        <v>6602</v>
      </c>
    </row>
    <row r="148" spans="1:7" ht="19.5" customHeight="1">
      <c r="A148" s="304" t="s">
        <v>514</v>
      </c>
      <c r="B148" s="304"/>
      <c r="C148" s="229"/>
      <c r="D148" s="229"/>
      <c r="E148" s="228"/>
      <c r="F148" s="228"/>
      <c r="G148" s="224">
        <v>207975</v>
      </c>
    </row>
    <row r="149" spans="1:7" ht="19.5" customHeight="1">
      <c r="A149" s="304" t="s">
        <v>414</v>
      </c>
      <c r="B149" s="304"/>
      <c r="C149" s="304"/>
      <c r="D149" s="304"/>
      <c r="E149" s="228"/>
      <c r="F149" s="228"/>
      <c r="G149" s="278">
        <v>1664.5</v>
      </c>
    </row>
    <row r="150" spans="1:7" ht="19.5" customHeight="1" thickBot="1">
      <c r="A150" s="228"/>
      <c r="B150" s="228"/>
      <c r="C150" s="228"/>
      <c r="D150" s="228"/>
      <c r="E150" s="228"/>
      <c r="F150" s="228" t="s">
        <v>19</v>
      </c>
      <c r="G150" s="276">
        <f>SUM(G145:G149)</f>
        <v>231482.61</v>
      </c>
    </row>
    <row r="151" spans="1:7" ht="19.5" customHeight="1" thickTop="1">
      <c r="A151" s="308"/>
      <c r="B151" s="308"/>
      <c r="C151" s="308"/>
      <c r="D151" s="308"/>
      <c r="E151" s="308"/>
      <c r="F151" s="308"/>
      <c r="G151" s="308"/>
    </row>
    <row r="152" spans="1:7" ht="19.5" customHeight="1">
      <c r="A152" s="308"/>
      <c r="B152" s="308"/>
      <c r="C152" s="308"/>
      <c r="D152" s="308"/>
      <c r="E152" s="308"/>
      <c r="F152" s="308"/>
      <c r="G152" s="308"/>
    </row>
    <row r="153" spans="1:7" ht="19.5" customHeight="1">
      <c r="A153" s="229"/>
      <c r="B153" s="229"/>
      <c r="C153" s="229"/>
      <c r="D153" s="229"/>
      <c r="E153" s="228"/>
      <c r="F153" s="228"/>
      <c r="G153" s="224"/>
    </row>
    <row r="154" spans="1:7" ht="19.5" customHeight="1">
      <c r="A154" s="229"/>
      <c r="B154" s="229"/>
      <c r="C154" s="229"/>
      <c r="D154" s="229"/>
      <c r="E154" s="228"/>
      <c r="F154" s="228"/>
      <c r="G154" s="224"/>
    </row>
    <row r="155" spans="1:7" ht="19.5" customHeight="1">
      <c r="A155" s="229"/>
      <c r="B155" s="229"/>
      <c r="C155" s="229"/>
      <c r="D155" s="229"/>
      <c r="E155" s="228"/>
      <c r="F155" s="228"/>
      <c r="G155" s="224"/>
    </row>
    <row r="156" spans="1:7" ht="19.5" customHeight="1">
      <c r="A156" s="229"/>
      <c r="B156" s="229"/>
      <c r="C156" s="229"/>
      <c r="D156" s="229"/>
      <c r="E156" s="228"/>
      <c r="F156" s="228"/>
      <c r="G156" s="224"/>
    </row>
    <row r="157" spans="1:7" ht="19.5" customHeight="1">
      <c r="A157" s="229"/>
      <c r="B157" s="229"/>
      <c r="C157" s="229"/>
      <c r="D157" s="229"/>
      <c r="E157" s="228" t="s">
        <v>548</v>
      </c>
      <c r="F157" s="228"/>
      <c r="G157" s="224"/>
    </row>
    <row r="158" spans="1:7" ht="19.5" customHeight="1">
      <c r="A158" s="229"/>
      <c r="B158" s="229"/>
      <c r="C158" s="229"/>
      <c r="D158" s="229"/>
      <c r="E158" s="228"/>
      <c r="F158" s="228"/>
      <c r="G158" s="224"/>
    </row>
    <row r="159" spans="1:7" ht="19.5" customHeight="1">
      <c r="A159" s="229"/>
      <c r="B159" s="229"/>
      <c r="C159" s="229"/>
      <c r="D159" s="229"/>
      <c r="E159" s="228"/>
      <c r="F159" s="228"/>
      <c r="G159" s="224"/>
    </row>
    <row r="160" spans="1:7" ht="19.5" customHeight="1">
      <c r="A160" s="229"/>
      <c r="B160" s="229"/>
      <c r="C160" s="229"/>
      <c r="D160" s="224"/>
      <c r="E160" s="224"/>
      <c r="F160" s="224"/>
      <c r="G160" s="224"/>
    </row>
    <row r="161" spans="1:7" ht="19.5" customHeight="1">
      <c r="A161" s="229"/>
      <c r="B161" s="229"/>
      <c r="C161" s="229"/>
      <c r="D161" s="229"/>
      <c r="E161" s="228"/>
      <c r="F161" s="228"/>
      <c r="G161" s="224"/>
    </row>
    <row r="162" spans="1:7" ht="19.5" customHeight="1">
      <c r="A162" s="305" t="s">
        <v>64</v>
      </c>
      <c r="B162" s="305"/>
      <c r="C162" s="305"/>
      <c r="D162" s="305"/>
      <c r="E162" s="305"/>
      <c r="F162" s="305"/>
      <c r="G162" s="305"/>
    </row>
    <row r="163" spans="1:7" ht="19.5" customHeight="1">
      <c r="A163" s="306" t="s">
        <v>450</v>
      </c>
      <c r="B163" s="306"/>
      <c r="C163" s="306"/>
      <c r="D163" s="306"/>
      <c r="E163" s="306"/>
      <c r="F163" s="306"/>
      <c r="G163" s="306"/>
    </row>
    <row r="164" spans="1:7" ht="19.5" customHeight="1">
      <c r="A164" s="306" t="s">
        <v>515</v>
      </c>
      <c r="B164" s="306"/>
      <c r="C164" s="306"/>
      <c r="D164" s="306"/>
      <c r="E164" s="306"/>
      <c r="F164" s="306"/>
      <c r="G164" s="306"/>
    </row>
    <row r="165" spans="1:7" ht="19.5" customHeight="1">
      <c r="A165" s="307" t="s">
        <v>435</v>
      </c>
      <c r="B165" s="307"/>
      <c r="C165" s="307"/>
      <c r="D165" s="307"/>
      <c r="E165" s="307"/>
      <c r="F165" s="307"/>
      <c r="G165" s="307"/>
    </row>
    <row r="166" spans="1:7" ht="19.5" customHeight="1">
      <c r="A166" s="270"/>
      <c r="B166" s="270"/>
      <c r="C166" s="270"/>
      <c r="D166" s="270"/>
      <c r="E166" s="270"/>
      <c r="F166" s="270"/>
      <c r="G166" s="228" t="s">
        <v>70</v>
      </c>
    </row>
    <row r="167" spans="1:7" ht="19.5" customHeight="1">
      <c r="A167" s="304" t="s">
        <v>523</v>
      </c>
      <c r="B167" s="304"/>
      <c r="C167" s="304"/>
      <c r="D167" s="304"/>
      <c r="E167" s="229"/>
      <c r="F167" s="229"/>
      <c r="G167" s="224">
        <v>4200</v>
      </c>
    </row>
    <row r="168" spans="1:7" ht="19.5" customHeight="1">
      <c r="A168" s="304" t="s">
        <v>523</v>
      </c>
      <c r="B168" s="304"/>
      <c r="C168" s="304"/>
      <c r="D168" s="304"/>
      <c r="E168" s="229"/>
      <c r="F168" s="229"/>
      <c r="G168" s="224">
        <v>3800</v>
      </c>
    </row>
    <row r="169" spans="1:7" ht="19.5" customHeight="1">
      <c r="A169" s="304" t="s">
        <v>523</v>
      </c>
      <c r="B169" s="304"/>
      <c r="C169" s="304"/>
      <c r="D169" s="304"/>
      <c r="E169" s="229"/>
      <c r="F169" s="229"/>
      <c r="G169" s="224">
        <v>6700</v>
      </c>
    </row>
    <row r="170" spans="1:7" ht="19.5" customHeight="1">
      <c r="A170" s="229" t="s">
        <v>487</v>
      </c>
      <c r="B170" s="229"/>
      <c r="C170" s="229"/>
      <c r="D170" s="229"/>
      <c r="E170" s="228"/>
      <c r="F170" s="228"/>
      <c r="G170" s="224">
        <v>7000</v>
      </c>
    </row>
    <row r="171" spans="1:7" ht="19.5" customHeight="1">
      <c r="A171" s="304" t="s">
        <v>486</v>
      </c>
      <c r="B171" s="304"/>
      <c r="C171" s="304"/>
      <c r="D171" s="304"/>
      <c r="E171" s="304"/>
      <c r="F171" s="228"/>
      <c r="G171" s="224">
        <v>7000</v>
      </c>
    </row>
    <row r="172" spans="1:7" ht="19.5" customHeight="1">
      <c r="A172" s="229" t="s">
        <v>490</v>
      </c>
      <c r="B172" s="229"/>
      <c r="C172" s="229"/>
      <c r="D172" s="224"/>
      <c r="E172" s="224"/>
      <c r="F172" s="224"/>
      <c r="G172" s="224">
        <v>80920.84</v>
      </c>
    </row>
    <row r="173" spans="1:7" ht="19.5" customHeight="1">
      <c r="A173" s="229" t="s">
        <v>488</v>
      </c>
      <c r="B173" s="229"/>
      <c r="C173" s="229"/>
      <c r="D173" s="229"/>
      <c r="E173" s="229"/>
      <c r="F173" s="228"/>
      <c r="G173" s="224">
        <v>52252.2</v>
      </c>
    </row>
    <row r="174" spans="1:7" ht="19.5" customHeight="1">
      <c r="A174" s="304" t="s">
        <v>489</v>
      </c>
      <c r="B174" s="304"/>
      <c r="C174" s="304"/>
      <c r="D174" s="304"/>
      <c r="E174" s="304"/>
      <c r="F174" s="265"/>
      <c r="G174" s="254">
        <v>238000</v>
      </c>
    </row>
    <row r="175" spans="1:7" ht="19.5" customHeight="1">
      <c r="A175" s="229"/>
      <c r="B175" s="229"/>
      <c r="C175" s="229"/>
      <c r="D175" s="229"/>
      <c r="E175" s="229"/>
      <c r="F175" s="265"/>
      <c r="G175" s="254"/>
    </row>
    <row r="176" spans="1:7" ht="19.5" customHeight="1">
      <c r="A176" s="229"/>
      <c r="B176" s="229"/>
      <c r="C176" s="229"/>
      <c r="D176" s="229"/>
      <c r="E176" s="229"/>
      <c r="F176" s="265"/>
      <c r="G176" s="254"/>
    </row>
    <row r="177" spans="1:7" ht="19.5" customHeight="1">
      <c r="A177" s="304"/>
      <c r="B177" s="304"/>
      <c r="C177" s="304"/>
      <c r="D177" s="304"/>
      <c r="E177" s="304"/>
      <c r="F177" s="265"/>
      <c r="G177" s="279"/>
    </row>
    <row r="178" spans="1:7" ht="19.5" customHeight="1" thickBot="1">
      <c r="A178" s="229"/>
      <c r="B178" s="229"/>
      <c r="C178" s="229"/>
      <c r="D178" s="229"/>
      <c r="E178" s="229"/>
      <c r="F178" s="228" t="s">
        <v>19</v>
      </c>
      <c r="G178" s="277">
        <f>SUM(G167:G177)</f>
        <v>399873.04</v>
      </c>
    </row>
    <row r="179" spans="1:7" ht="19.5" customHeight="1" thickTop="1">
      <c r="A179" s="229"/>
      <c r="B179" s="229"/>
      <c r="C179" s="229"/>
      <c r="D179" s="229"/>
      <c r="E179" s="229"/>
      <c r="F179" s="265"/>
      <c r="G179" s="254"/>
    </row>
    <row r="180" spans="1:7" ht="19.5" customHeight="1" thickBot="1">
      <c r="A180" s="228"/>
      <c r="B180" s="228"/>
      <c r="C180" s="228"/>
      <c r="D180" s="228"/>
      <c r="E180" s="228"/>
      <c r="F180" s="228"/>
      <c r="G180" s="277"/>
    </row>
    <row r="181" spans="1:7" ht="19.5" customHeight="1" thickTop="1">
      <c r="A181" s="230"/>
      <c r="B181" s="230"/>
      <c r="C181" s="230"/>
      <c r="F181" s="230"/>
      <c r="G181" s="230"/>
    </row>
    <row r="182" spans="1:7" ht="19.5" customHeight="1">
      <c r="A182" s="230"/>
      <c r="B182" s="230"/>
      <c r="C182" s="230"/>
      <c r="F182" s="230"/>
      <c r="G182" s="230"/>
    </row>
    <row r="183" spans="1:7" ht="19.5" customHeight="1">
      <c r="A183" s="230"/>
      <c r="B183" s="230"/>
      <c r="C183" s="230"/>
      <c r="F183" s="230"/>
      <c r="G183" s="230"/>
    </row>
    <row r="184" spans="1:7" ht="19.5" customHeight="1">
      <c r="A184" s="230"/>
      <c r="B184" s="230"/>
      <c r="C184" s="230"/>
      <c r="F184" s="230"/>
      <c r="G184" s="230"/>
    </row>
    <row r="185" spans="1:7" ht="19.5" customHeight="1">
      <c r="A185" s="230"/>
      <c r="B185" s="230"/>
      <c r="C185" s="230"/>
      <c r="F185" s="230"/>
      <c r="G185" s="230"/>
    </row>
    <row r="186" spans="1:7" ht="19.5" customHeight="1">
      <c r="A186" s="230"/>
      <c r="B186" s="230"/>
      <c r="C186" s="230"/>
      <c r="F186" s="230"/>
      <c r="G186" s="230"/>
    </row>
    <row r="187" spans="1:7" ht="19.5" customHeight="1">
      <c r="A187" s="230"/>
      <c r="B187" s="230"/>
      <c r="C187" s="230"/>
      <c r="F187" s="230"/>
      <c r="G187" s="230"/>
    </row>
    <row r="188" spans="1:7" ht="19.5" customHeight="1">
      <c r="A188" s="230"/>
      <c r="B188" s="230"/>
      <c r="C188" s="230"/>
      <c r="F188" s="230"/>
      <c r="G188" s="230"/>
    </row>
    <row r="189" spans="1:7" ht="19.5" customHeight="1">
      <c r="A189" s="230"/>
      <c r="B189" s="230"/>
      <c r="C189" s="230"/>
      <c r="F189" s="230"/>
      <c r="G189" s="230"/>
    </row>
    <row r="190" spans="1:7" ht="19.5" customHeight="1">
      <c r="A190" s="230"/>
      <c r="B190" s="230"/>
      <c r="C190" s="230"/>
      <c r="F190" s="230"/>
      <c r="G190" s="230"/>
    </row>
    <row r="191" spans="1:7" ht="19.5" customHeight="1">
      <c r="A191" s="230"/>
      <c r="B191" s="230"/>
      <c r="C191" s="230"/>
      <c r="F191" s="230"/>
      <c r="G191" s="230"/>
    </row>
    <row r="192" spans="1:7" ht="19.5" customHeight="1">
      <c r="A192" s="230"/>
      <c r="B192" s="230"/>
      <c r="C192" s="230"/>
      <c r="F192" s="230"/>
      <c r="G192" s="230"/>
    </row>
    <row r="193" spans="1:7" ht="19.5" customHeight="1">
      <c r="A193" s="230"/>
      <c r="B193" s="230"/>
      <c r="C193" s="230"/>
      <c r="F193" s="230"/>
      <c r="G193" s="230"/>
    </row>
    <row r="194" spans="1:7" ht="19.5" customHeight="1">
      <c r="A194" s="230"/>
      <c r="B194" s="230"/>
      <c r="C194" s="230"/>
      <c r="F194" s="230"/>
      <c r="G194" s="230"/>
    </row>
    <row r="195" spans="1:7" ht="19.5" customHeight="1">
      <c r="A195" s="230"/>
      <c r="B195" s="230"/>
      <c r="C195" s="230"/>
      <c r="F195" s="230"/>
      <c r="G195" s="230"/>
    </row>
    <row r="196" spans="1:7" ht="19.5" customHeight="1">
      <c r="A196" s="230"/>
      <c r="B196" s="230"/>
      <c r="C196" s="230"/>
      <c r="F196" s="230"/>
      <c r="G196" s="230"/>
    </row>
    <row r="197" spans="1:7" ht="19.5" customHeight="1">
      <c r="A197" s="230"/>
      <c r="B197" s="230"/>
      <c r="C197" s="230"/>
      <c r="F197" s="230"/>
      <c r="G197" s="230"/>
    </row>
    <row r="198" spans="1:7" ht="19.5" customHeight="1">
      <c r="A198" s="230"/>
      <c r="B198" s="230"/>
      <c r="C198" s="230"/>
      <c r="F198" s="230"/>
      <c r="G198" s="230"/>
    </row>
    <row r="199" spans="1:7" ht="19.5" customHeight="1">
      <c r="A199" s="230"/>
      <c r="B199" s="230"/>
      <c r="C199" s="230"/>
      <c r="F199" s="230"/>
      <c r="G199" s="230"/>
    </row>
    <row r="200" spans="1:7" ht="19.5" customHeight="1">
      <c r="A200" s="230"/>
      <c r="B200" s="230"/>
      <c r="C200" s="230"/>
      <c r="F200" s="230"/>
      <c r="G200" s="230"/>
    </row>
    <row r="201" spans="1:7" ht="19.5" customHeight="1">
      <c r="A201" s="230"/>
      <c r="B201" s="230"/>
      <c r="C201" s="230"/>
      <c r="F201" s="230"/>
      <c r="G201" s="230"/>
    </row>
    <row r="202" spans="1:7" ht="19.5" customHeight="1">
      <c r="A202" s="230"/>
      <c r="B202" s="230"/>
      <c r="C202" s="230"/>
      <c r="F202" s="230"/>
      <c r="G202" s="230"/>
    </row>
    <row r="203" spans="1:7" ht="19.5" customHeight="1">
      <c r="A203" s="230"/>
      <c r="B203" s="230"/>
      <c r="C203" s="230"/>
      <c r="F203" s="230"/>
      <c r="G203" s="230"/>
    </row>
    <row r="204" spans="1:7" ht="19.5" customHeight="1">
      <c r="A204" s="230"/>
      <c r="B204" s="230"/>
      <c r="C204" s="230"/>
      <c r="F204" s="230"/>
      <c r="G204" s="230"/>
    </row>
    <row r="205" spans="1:7" ht="19.5" customHeight="1">
      <c r="A205" s="230"/>
      <c r="B205" s="230"/>
      <c r="C205" s="230"/>
      <c r="F205" s="230"/>
      <c r="G205" s="230"/>
    </row>
    <row r="206" spans="1:7" ht="19.5" customHeight="1">
      <c r="A206" s="230"/>
      <c r="B206" s="230"/>
      <c r="C206" s="230"/>
      <c r="F206" s="230"/>
      <c r="G206" s="230"/>
    </row>
    <row r="207" spans="1:7" ht="19.5" customHeight="1">
      <c r="A207" s="230"/>
      <c r="B207" s="230"/>
      <c r="C207" s="230"/>
      <c r="F207" s="230"/>
      <c r="G207" s="230"/>
    </row>
    <row r="208" spans="1:7" ht="19.5" customHeight="1">
      <c r="A208" s="230"/>
      <c r="B208" s="230"/>
      <c r="C208" s="230"/>
      <c r="F208" s="230"/>
      <c r="G208" s="230"/>
    </row>
    <row r="209" spans="1:7" ht="19.5" customHeight="1">
      <c r="A209" s="230"/>
      <c r="B209" s="230"/>
      <c r="C209" s="230"/>
      <c r="F209" s="230"/>
      <c r="G209" s="230"/>
    </row>
    <row r="210" spans="1:7" ht="19.5" customHeight="1">
      <c r="A210" s="230"/>
      <c r="B210" s="230"/>
      <c r="C210" s="230"/>
      <c r="F210" s="230"/>
      <c r="G210" s="230"/>
    </row>
    <row r="211" spans="1:7" ht="19.5" customHeight="1">
      <c r="A211" s="230"/>
      <c r="B211" s="230"/>
      <c r="C211" s="230"/>
      <c r="F211" s="230"/>
      <c r="G211" s="230"/>
    </row>
    <row r="212" spans="1:7" ht="19.5" customHeight="1">
      <c r="A212" s="230"/>
      <c r="B212" s="230"/>
      <c r="C212" s="230"/>
      <c r="F212" s="230"/>
      <c r="G212" s="230"/>
    </row>
    <row r="213" spans="1:7" ht="19.5" customHeight="1">
      <c r="A213" s="230"/>
      <c r="B213" s="230"/>
      <c r="C213" s="230"/>
      <c r="F213" s="230"/>
      <c r="G213" s="230"/>
    </row>
    <row r="214" spans="1:7" ht="19.5" customHeight="1">
      <c r="A214" s="230"/>
      <c r="B214" s="230"/>
      <c r="C214" s="230"/>
      <c r="F214" s="230"/>
      <c r="G214" s="230"/>
    </row>
    <row r="215" spans="1:7" ht="19.5" customHeight="1">
      <c r="A215" s="230"/>
      <c r="B215" s="230"/>
      <c r="C215" s="230"/>
      <c r="F215" s="230"/>
      <c r="G215" s="230"/>
    </row>
    <row r="216" spans="1:7" ht="19.5" customHeight="1">
      <c r="A216" s="230"/>
      <c r="B216" s="230"/>
      <c r="C216" s="230"/>
      <c r="F216" s="230"/>
      <c r="G216" s="230"/>
    </row>
    <row r="217" spans="1:7" ht="19.5" customHeight="1">
      <c r="A217" s="230"/>
      <c r="B217" s="230"/>
      <c r="C217" s="230"/>
      <c r="F217" s="230"/>
      <c r="G217" s="230"/>
    </row>
    <row r="218" spans="1:7" ht="19.5" customHeight="1">
      <c r="A218" s="230"/>
      <c r="B218" s="230"/>
      <c r="C218" s="230"/>
      <c r="F218" s="230"/>
      <c r="G218" s="230"/>
    </row>
    <row r="219" spans="1:7" ht="19.5" customHeight="1">
      <c r="A219" s="230"/>
      <c r="B219" s="230"/>
      <c r="C219" s="230"/>
      <c r="F219" s="230"/>
      <c r="G219" s="230"/>
    </row>
    <row r="220" spans="1:7" ht="19.5" customHeight="1">
      <c r="A220" s="230"/>
      <c r="B220" s="230"/>
      <c r="C220" s="230"/>
      <c r="F220" s="230"/>
      <c r="G220" s="230"/>
    </row>
    <row r="221" spans="1:7" ht="19.5" customHeight="1">
      <c r="A221" s="230"/>
      <c r="B221" s="230"/>
      <c r="C221" s="230"/>
      <c r="F221" s="230"/>
      <c r="G221" s="230"/>
    </row>
    <row r="222" spans="1:7" ht="19.5" customHeight="1">
      <c r="A222" s="230"/>
      <c r="B222" s="230"/>
      <c r="C222" s="230"/>
      <c r="F222" s="230"/>
      <c r="G222" s="230"/>
    </row>
    <row r="223" spans="1:7" ht="19.5" customHeight="1">
      <c r="A223" s="230"/>
      <c r="B223" s="230"/>
      <c r="C223" s="230"/>
      <c r="F223" s="230"/>
      <c r="G223" s="230"/>
    </row>
    <row r="224" spans="1:7" ht="19.5" customHeight="1">
      <c r="A224" s="230"/>
      <c r="B224" s="230"/>
      <c r="C224" s="230"/>
      <c r="F224" s="230"/>
      <c r="G224" s="230"/>
    </row>
    <row r="225" spans="1:7" ht="19.5" customHeight="1">
      <c r="A225" s="230"/>
      <c r="B225" s="230"/>
      <c r="C225" s="230"/>
      <c r="F225" s="230"/>
      <c r="G225" s="230"/>
    </row>
    <row r="226" spans="1:7" ht="19.5" customHeight="1">
      <c r="A226" s="230"/>
      <c r="B226" s="230"/>
      <c r="C226" s="230"/>
      <c r="F226" s="230"/>
      <c r="G226" s="230"/>
    </row>
    <row r="227" spans="1:7" ht="19.5" customHeight="1">
      <c r="A227" s="230"/>
      <c r="B227" s="230"/>
      <c r="C227" s="230"/>
      <c r="F227" s="230"/>
      <c r="G227" s="230"/>
    </row>
    <row r="228" spans="1:7" ht="19.5" customHeight="1">
      <c r="A228" s="230"/>
      <c r="B228" s="230"/>
      <c r="C228" s="230"/>
      <c r="F228" s="230"/>
      <c r="G228" s="230"/>
    </row>
    <row r="229" spans="1:7" ht="19.5" customHeight="1">
      <c r="A229" s="230"/>
      <c r="B229" s="230"/>
      <c r="C229" s="230"/>
      <c r="F229" s="230"/>
      <c r="G229" s="230"/>
    </row>
    <row r="230" spans="1:7" ht="19.5" customHeight="1">
      <c r="A230" s="230"/>
      <c r="B230" s="230"/>
      <c r="C230" s="230"/>
      <c r="F230" s="230"/>
      <c r="G230" s="230"/>
    </row>
    <row r="231" spans="1:7" ht="19.5" customHeight="1">
      <c r="A231" s="230"/>
      <c r="B231" s="230"/>
      <c r="C231" s="230"/>
      <c r="F231" s="230"/>
      <c r="G231" s="230"/>
    </row>
    <row r="232" spans="1:7" ht="19.5" customHeight="1">
      <c r="A232" s="230"/>
      <c r="B232" s="230"/>
      <c r="C232" s="230"/>
      <c r="F232" s="230"/>
      <c r="G232" s="230"/>
    </row>
    <row r="233" spans="1:7" ht="19.5" customHeight="1">
      <c r="A233" s="230"/>
      <c r="B233" s="230"/>
      <c r="C233" s="230"/>
      <c r="F233" s="230"/>
      <c r="G233" s="230"/>
    </row>
    <row r="234" spans="1:7" ht="19.5" customHeight="1">
      <c r="A234" s="230"/>
      <c r="B234" s="230"/>
      <c r="C234" s="230"/>
      <c r="F234" s="230"/>
      <c r="G234" s="230"/>
    </row>
    <row r="235" spans="1:7" ht="19.5" customHeight="1">
      <c r="A235" s="230"/>
      <c r="B235" s="230"/>
      <c r="C235" s="230"/>
      <c r="F235" s="230"/>
      <c r="G235" s="230"/>
    </row>
    <row r="236" spans="1:7" ht="19.5" customHeight="1">
      <c r="A236" s="230"/>
      <c r="B236" s="230"/>
      <c r="C236" s="230"/>
      <c r="F236" s="230"/>
      <c r="G236" s="230"/>
    </row>
    <row r="237" spans="1:7" ht="19.5" customHeight="1">
      <c r="A237" s="230"/>
      <c r="B237" s="230"/>
      <c r="C237" s="230"/>
      <c r="F237" s="230"/>
      <c r="G237" s="230"/>
    </row>
    <row r="238" spans="1:7" ht="19.5" customHeight="1">
      <c r="A238" s="230"/>
      <c r="B238" s="230"/>
      <c r="C238" s="230"/>
      <c r="F238" s="230"/>
      <c r="G238" s="230"/>
    </row>
    <row r="239" spans="1:7" ht="19.5" customHeight="1">
      <c r="A239" s="230"/>
      <c r="B239" s="230"/>
      <c r="C239" s="230"/>
      <c r="F239" s="230"/>
      <c r="G239" s="230"/>
    </row>
    <row r="240" spans="1:7" ht="19.5" customHeight="1">
      <c r="A240" s="230"/>
      <c r="B240" s="230"/>
      <c r="C240" s="230"/>
      <c r="F240" s="230"/>
      <c r="G240" s="230"/>
    </row>
    <row r="241" spans="1:7" ht="19.5" customHeight="1">
      <c r="A241" s="230"/>
      <c r="B241" s="230"/>
      <c r="C241" s="230"/>
      <c r="F241" s="230"/>
      <c r="G241" s="230"/>
    </row>
    <row r="242" spans="1:7" ht="19.5" customHeight="1">
      <c r="A242" s="230"/>
      <c r="B242" s="230"/>
      <c r="C242" s="230"/>
      <c r="F242" s="230"/>
      <c r="G242" s="230"/>
    </row>
    <row r="243" spans="1:7" ht="19.5" customHeight="1">
      <c r="A243" s="230"/>
      <c r="B243" s="230"/>
      <c r="C243" s="230"/>
      <c r="F243" s="230"/>
      <c r="G243" s="230"/>
    </row>
    <row r="244" spans="1:7" ht="19.5" customHeight="1">
      <c r="A244" s="230"/>
      <c r="B244" s="230"/>
      <c r="C244" s="230"/>
      <c r="F244" s="230"/>
      <c r="G244" s="230"/>
    </row>
    <row r="245" spans="1:7" ht="19.5" customHeight="1">
      <c r="A245" s="230"/>
      <c r="B245" s="230"/>
      <c r="C245" s="230"/>
      <c r="F245" s="230"/>
      <c r="G245" s="230"/>
    </row>
    <row r="246" spans="1:7" ht="19.5" customHeight="1">
      <c r="A246" s="230"/>
      <c r="B246" s="230"/>
      <c r="C246" s="230"/>
      <c r="F246" s="230"/>
      <c r="G246" s="230"/>
    </row>
    <row r="247" spans="1:7" ht="19.5" customHeight="1">
      <c r="A247" s="230"/>
      <c r="B247" s="230"/>
      <c r="C247" s="230"/>
      <c r="F247" s="230"/>
      <c r="G247" s="230"/>
    </row>
    <row r="248" spans="1:7" ht="19.5" customHeight="1">
      <c r="A248" s="230"/>
      <c r="B248" s="230"/>
      <c r="C248" s="230"/>
      <c r="F248" s="230"/>
      <c r="G248" s="230"/>
    </row>
    <row r="249" spans="1:7" ht="19.5" customHeight="1">
      <c r="A249" s="230"/>
      <c r="B249" s="230"/>
      <c r="C249" s="230"/>
      <c r="F249" s="230"/>
      <c r="G249" s="230"/>
    </row>
    <row r="250" spans="1:7" ht="19.5" customHeight="1">
      <c r="A250" s="230"/>
      <c r="B250" s="230"/>
      <c r="C250" s="230"/>
      <c r="F250" s="230"/>
      <c r="G250" s="230"/>
    </row>
    <row r="251" spans="1:7" ht="19.5" customHeight="1">
      <c r="A251" s="230"/>
      <c r="B251" s="230"/>
      <c r="C251" s="230"/>
      <c r="F251" s="230"/>
      <c r="G251" s="230"/>
    </row>
    <row r="252" spans="1:7" ht="19.5" customHeight="1">
      <c r="A252" s="230"/>
      <c r="B252" s="230"/>
      <c r="C252" s="230"/>
      <c r="F252" s="230"/>
      <c r="G252" s="230"/>
    </row>
    <row r="253" spans="1:7" ht="19.5" customHeight="1">
      <c r="A253" s="230"/>
      <c r="B253" s="230"/>
      <c r="C253" s="230"/>
      <c r="F253" s="230"/>
      <c r="G253" s="230"/>
    </row>
    <row r="254" spans="1:7" ht="19.5" customHeight="1">
      <c r="A254" s="230"/>
      <c r="B254" s="230"/>
      <c r="C254" s="230"/>
      <c r="F254" s="230"/>
      <c r="G254" s="230"/>
    </row>
    <row r="255" spans="1:7" ht="19.5" customHeight="1">
      <c r="A255" s="230"/>
      <c r="B255" s="230"/>
      <c r="C255" s="230"/>
      <c r="F255" s="230"/>
      <c r="G255" s="230"/>
    </row>
    <row r="256" spans="1:7" ht="19.5" customHeight="1">
      <c r="A256" s="230"/>
      <c r="B256" s="230"/>
      <c r="C256" s="230"/>
      <c r="F256" s="230"/>
      <c r="G256" s="230"/>
    </row>
    <row r="257" spans="1:7" ht="19.5" customHeight="1">
      <c r="A257" s="230"/>
      <c r="B257" s="230"/>
      <c r="C257" s="230"/>
      <c r="F257" s="230"/>
      <c r="G257" s="230"/>
    </row>
    <row r="258" spans="1:7" ht="19.5" customHeight="1">
      <c r="A258" s="230"/>
      <c r="B258" s="230"/>
      <c r="C258" s="230"/>
      <c r="F258" s="230"/>
      <c r="G258" s="230"/>
    </row>
    <row r="259" spans="1:7" ht="19.5" customHeight="1">
      <c r="A259" s="230"/>
      <c r="B259" s="230"/>
      <c r="C259" s="230"/>
      <c r="F259" s="230"/>
      <c r="G259" s="230"/>
    </row>
    <row r="260" spans="1:7" ht="19.5" customHeight="1">
      <c r="A260" s="230"/>
      <c r="B260" s="230"/>
      <c r="C260" s="230"/>
      <c r="F260" s="230"/>
      <c r="G260" s="230"/>
    </row>
    <row r="261" spans="1:7" ht="19.5" customHeight="1">
      <c r="A261" s="230"/>
      <c r="B261" s="230"/>
      <c r="C261" s="230"/>
      <c r="F261" s="230"/>
      <c r="G261" s="230"/>
    </row>
    <row r="262" spans="1:7" ht="19.5" customHeight="1">
      <c r="A262" s="230"/>
      <c r="B262" s="230"/>
      <c r="C262" s="230"/>
      <c r="F262" s="230"/>
      <c r="G262" s="230"/>
    </row>
    <row r="263" spans="1:7" ht="19.5" customHeight="1">
      <c r="A263" s="230"/>
      <c r="B263" s="230"/>
      <c r="C263" s="230"/>
      <c r="F263" s="230"/>
      <c r="G263" s="230"/>
    </row>
    <row r="264" spans="1:7" ht="19.5" customHeight="1">
      <c r="A264" s="230"/>
      <c r="B264" s="230"/>
      <c r="C264" s="230"/>
      <c r="F264" s="230"/>
      <c r="G264" s="230"/>
    </row>
    <row r="265" spans="1:7" ht="19.5" customHeight="1">
      <c r="A265" s="230"/>
      <c r="B265" s="230"/>
      <c r="C265" s="230"/>
      <c r="F265" s="230"/>
      <c r="G265" s="230"/>
    </row>
    <row r="266" spans="1:7" ht="19.5" customHeight="1">
      <c r="A266" s="230"/>
      <c r="B266" s="230"/>
      <c r="C266" s="230"/>
      <c r="F266" s="230"/>
      <c r="G266" s="230"/>
    </row>
    <row r="267" spans="1:7" ht="19.5" customHeight="1">
      <c r="A267" s="230"/>
      <c r="B267" s="230"/>
      <c r="C267" s="230"/>
      <c r="F267" s="230"/>
      <c r="G267" s="230"/>
    </row>
    <row r="268" spans="1:7" ht="19.5" customHeight="1">
      <c r="A268" s="230"/>
      <c r="B268" s="230"/>
      <c r="C268" s="230"/>
      <c r="F268" s="230"/>
      <c r="G268" s="230"/>
    </row>
    <row r="269" spans="1:7" ht="19.5" customHeight="1">
      <c r="A269" s="230"/>
      <c r="B269" s="230"/>
      <c r="C269" s="230"/>
      <c r="F269" s="230"/>
      <c r="G269" s="230"/>
    </row>
    <row r="270" spans="1:7" ht="19.5" customHeight="1">
      <c r="A270" s="230"/>
      <c r="B270" s="230"/>
      <c r="C270" s="230"/>
      <c r="F270" s="230"/>
      <c r="G270" s="230"/>
    </row>
    <row r="271" spans="1:7" ht="19.5" customHeight="1">
      <c r="A271" s="230"/>
      <c r="B271" s="230"/>
      <c r="C271" s="230"/>
      <c r="F271" s="230"/>
      <c r="G271" s="230"/>
    </row>
    <row r="272" spans="1:7" ht="19.5" customHeight="1">
      <c r="A272" s="230"/>
      <c r="B272" s="230"/>
      <c r="C272" s="230"/>
      <c r="F272" s="230"/>
      <c r="G272" s="230"/>
    </row>
    <row r="273" spans="1:7" ht="19.5" customHeight="1">
      <c r="A273" s="230"/>
      <c r="B273" s="230"/>
      <c r="C273" s="230"/>
      <c r="F273" s="230"/>
      <c r="G273" s="230"/>
    </row>
    <row r="274" spans="1:7" ht="19.5" customHeight="1">
      <c r="A274" s="230"/>
      <c r="B274" s="230"/>
      <c r="C274" s="230"/>
      <c r="F274" s="230"/>
      <c r="G274" s="230"/>
    </row>
    <row r="275" spans="1:7" ht="19.5" customHeight="1">
      <c r="A275" s="230"/>
      <c r="B275" s="230"/>
      <c r="C275" s="230"/>
      <c r="F275" s="230"/>
      <c r="G275" s="230"/>
    </row>
    <row r="276" spans="1:7" ht="19.5" customHeight="1">
      <c r="A276" s="230"/>
      <c r="B276" s="230"/>
      <c r="C276" s="230"/>
      <c r="F276" s="230"/>
      <c r="G276" s="230"/>
    </row>
    <row r="277" spans="1:7" ht="19.5" customHeight="1">
      <c r="A277" s="230"/>
      <c r="B277" s="230"/>
      <c r="C277" s="230"/>
      <c r="F277" s="230"/>
      <c r="G277" s="230"/>
    </row>
    <row r="278" spans="1:7" ht="19.5" customHeight="1">
      <c r="A278" s="230"/>
      <c r="B278" s="230"/>
      <c r="C278" s="230"/>
      <c r="F278" s="230"/>
      <c r="G278" s="230"/>
    </row>
    <row r="279" spans="1:7" ht="19.5" customHeight="1">
      <c r="A279" s="230"/>
      <c r="B279" s="230"/>
      <c r="C279" s="230"/>
      <c r="F279" s="230"/>
      <c r="G279" s="230"/>
    </row>
    <row r="280" spans="1:7" ht="19.5" customHeight="1">
      <c r="A280" s="230"/>
      <c r="B280" s="230"/>
      <c r="C280" s="230"/>
      <c r="F280" s="230"/>
      <c r="G280" s="230"/>
    </row>
    <row r="281" spans="1:7" ht="19.5" customHeight="1">
      <c r="A281" s="230"/>
      <c r="B281" s="230"/>
      <c r="C281" s="230"/>
      <c r="F281" s="230"/>
      <c r="G281" s="230"/>
    </row>
    <row r="282" spans="1:7" ht="19.5" customHeight="1">
      <c r="A282" s="230"/>
      <c r="B282" s="230"/>
      <c r="C282" s="230"/>
      <c r="F282" s="230"/>
      <c r="G282" s="230"/>
    </row>
    <row r="283" spans="1:7" ht="19.5" customHeight="1">
      <c r="A283" s="230"/>
      <c r="B283" s="230"/>
      <c r="C283" s="230"/>
      <c r="F283" s="230"/>
      <c r="G283" s="230"/>
    </row>
    <row r="284" spans="1:7" ht="19.5" customHeight="1">
      <c r="A284" s="230"/>
      <c r="B284" s="230"/>
      <c r="C284" s="230"/>
      <c r="F284" s="230"/>
      <c r="G284" s="230"/>
    </row>
    <row r="285" spans="1:7" ht="19.5" customHeight="1">
      <c r="A285" s="230"/>
      <c r="B285" s="230"/>
      <c r="C285" s="230"/>
      <c r="F285" s="230"/>
      <c r="G285" s="230"/>
    </row>
    <row r="286" spans="1:7" ht="19.5" customHeight="1">
      <c r="A286" s="230"/>
      <c r="B286" s="230"/>
      <c r="C286" s="230"/>
      <c r="F286" s="230"/>
      <c r="G286" s="230"/>
    </row>
    <row r="287" spans="1:7" ht="19.5" customHeight="1">
      <c r="A287" s="230"/>
      <c r="B287" s="230"/>
      <c r="C287" s="230"/>
      <c r="F287" s="230"/>
      <c r="G287" s="230"/>
    </row>
    <row r="288" spans="1:7" ht="19.5" customHeight="1">
      <c r="A288" s="230"/>
      <c r="B288" s="230"/>
      <c r="C288" s="230"/>
      <c r="F288" s="230"/>
      <c r="G288" s="230"/>
    </row>
    <row r="289" spans="1:7" ht="19.5" customHeight="1">
      <c r="A289" s="230"/>
      <c r="B289" s="230"/>
      <c r="C289" s="230"/>
      <c r="F289" s="230"/>
      <c r="G289" s="230"/>
    </row>
    <row r="290" spans="1:7" ht="19.5" customHeight="1">
      <c r="A290" s="230"/>
      <c r="B290" s="230"/>
      <c r="C290" s="230"/>
      <c r="F290" s="230"/>
      <c r="G290" s="230"/>
    </row>
    <row r="291" spans="1:7" ht="19.5" customHeight="1">
      <c r="A291" s="230"/>
      <c r="B291" s="230"/>
      <c r="C291" s="230"/>
      <c r="F291" s="230"/>
      <c r="G291" s="230"/>
    </row>
    <row r="292" spans="1:7" ht="19.5" customHeight="1">
      <c r="A292" s="230"/>
      <c r="B292" s="230"/>
      <c r="C292" s="230"/>
      <c r="F292" s="230"/>
      <c r="G292" s="230"/>
    </row>
    <row r="293" spans="1:7" ht="19.5" customHeight="1">
      <c r="A293" s="230"/>
      <c r="B293" s="230"/>
      <c r="C293" s="230"/>
      <c r="F293" s="230"/>
      <c r="G293" s="230"/>
    </row>
    <row r="294" spans="1:7" ht="19.5" customHeight="1">
      <c r="A294" s="230"/>
      <c r="B294" s="230"/>
      <c r="C294" s="230"/>
      <c r="F294" s="230"/>
      <c r="G294" s="230"/>
    </row>
    <row r="295" spans="1:7" ht="19.5" customHeight="1">
      <c r="A295" s="230"/>
      <c r="B295" s="230"/>
      <c r="C295" s="230"/>
      <c r="F295" s="230"/>
      <c r="G295" s="230"/>
    </row>
    <row r="296" spans="1:7" ht="19.5" customHeight="1">
      <c r="A296" s="230"/>
      <c r="B296" s="230"/>
      <c r="C296" s="230"/>
      <c r="F296" s="230"/>
      <c r="G296" s="230"/>
    </row>
    <row r="297" spans="1:7" ht="19.5" customHeight="1">
      <c r="A297" s="230"/>
      <c r="B297" s="230"/>
      <c r="C297" s="230"/>
      <c r="F297" s="230"/>
      <c r="G297" s="230"/>
    </row>
    <row r="298" spans="1:7" ht="19.5" customHeight="1">
      <c r="A298" s="230"/>
      <c r="B298" s="230"/>
      <c r="C298" s="230"/>
      <c r="F298" s="230"/>
      <c r="G298" s="230"/>
    </row>
    <row r="299" spans="1:7" ht="19.5" customHeight="1">
      <c r="A299" s="230"/>
      <c r="B299" s="230"/>
      <c r="C299" s="230"/>
      <c r="F299" s="230"/>
      <c r="G299" s="230"/>
    </row>
    <row r="300" spans="1:7" ht="19.5" customHeight="1">
      <c r="A300" s="230"/>
      <c r="B300" s="230"/>
      <c r="C300" s="230"/>
      <c r="F300" s="230"/>
      <c r="G300" s="230"/>
    </row>
    <row r="301" spans="1:7" ht="19.5" customHeight="1">
      <c r="A301" s="230"/>
      <c r="B301" s="230"/>
      <c r="C301" s="230"/>
      <c r="F301" s="230"/>
      <c r="G301" s="230"/>
    </row>
    <row r="302" spans="1:7" ht="19.5" customHeight="1">
      <c r="A302" s="230"/>
      <c r="B302" s="230"/>
      <c r="C302" s="230"/>
      <c r="F302" s="230"/>
      <c r="G302" s="230"/>
    </row>
    <row r="303" spans="1:7" ht="19.5" customHeight="1">
      <c r="A303" s="230"/>
      <c r="B303" s="230"/>
      <c r="C303" s="230"/>
      <c r="F303" s="230"/>
      <c r="G303" s="230"/>
    </row>
    <row r="304" spans="1:7" ht="19.5" customHeight="1">
      <c r="A304" s="230"/>
      <c r="B304" s="230"/>
      <c r="C304" s="230"/>
      <c r="F304" s="230"/>
      <c r="G304" s="230"/>
    </row>
    <row r="305" spans="1:7" ht="19.5" customHeight="1">
      <c r="A305" s="230"/>
      <c r="B305" s="230"/>
      <c r="C305" s="230"/>
      <c r="F305" s="230"/>
      <c r="G305" s="230"/>
    </row>
    <row r="306" spans="1:7" ht="19.5" customHeight="1">
      <c r="A306" s="230"/>
      <c r="B306" s="230"/>
      <c r="C306" s="230"/>
      <c r="F306" s="230"/>
      <c r="G306" s="230"/>
    </row>
    <row r="307" spans="1:7" ht="19.5" customHeight="1">
      <c r="A307" s="230"/>
      <c r="B307" s="230"/>
      <c r="C307" s="230"/>
      <c r="F307" s="230"/>
      <c r="G307" s="230"/>
    </row>
    <row r="308" spans="1:7" ht="19.5" customHeight="1">
      <c r="A308" s="230"/>
      <c r="B308" s="230"/>
      <c r="C308" s="230"/>
      <c r="F308" s="230"/>
      <c r="G308" s="230"/>
    </row>
    <row r="309" spans="1:7" ht="19.5" customHeight="1">
      <c r="A309" s="230"/>
      <c r="B309" s="230"/>
      <c r="C309" s="230"/>
      <c r="F309" s="230"/>
      <c r="G309" s="230"/>
    </row>
    <row r="310" spans="1:7" ht="19.5" customHeight="1">
      <c r="A310" s="230"/>
      <c r="B310" s="230"/>
      <c r="C310" s="230"/>
      <c r="F310" s="230"/>
      <c r="G310" s="230"/>
    </row>
    <row r="311" spans="1:7" ht="19.5" customHeight="1">
      <c r="A311" s="230"/>
      <c r="B311" s="230"/>
      <c r="C311" s="230"/>
      <c r="F311" s="230"/>
      <c r="G311" s="230"/>
    </row>
    <row r="312" spans="1:7" ht="19.5" customHeight="1">
      <c r="A312" s="230"/>
      <c r="B312" s="230"/>
      <c r="C312" s="230"/>
      <c r="F312" s="230"/>
      <c r="G312" s="230"/>
    </row>
    <row r="313" spans="1:7" ht="19.5" customHeight="1">
      <c r="A313" s="230"/>
      <c r="B313" s="230"/>
      <c r="C313" s="230"/>
      <c r="F313" s="230"/>
      <c r="G313" s="230"/>
    </row>
    <row r="314" spans="1:7" ht="19.5" customHeight="1">
      <c r="A314" s="230"/>
      <c r="B314" s="230"/>
      <c r="C314" s="230"/>
      <c r="F314" s="230"/>
      <c r="G314" s="230"/>
    </row>
    <row r="315" spans="1:7" ht="19.5" customHeight="1">
      <c r="A315" s="230"/>
      <c r="B315" s="230"/>
      <c r="C315" s="230"/>
      <c r="F315" s="230"/>
      <c r="G315" s="230"/>
    </row>
    <row r="316" spans="1:7" ht="19.5" customHeight="1">
      <c r="A316" s="230"/>
      <c r="B316" s="230"/>
      <c r="C316" s="230"/>
      <c r="F316" s="230"/>
      <c r="G316" s="230"/>
    </row>
    <row r="317" spans="1:7" ht="19.5" customHeight="1">
      <c r="A317" s="230"/>
      <c r="B317" s="230"/>
      <c r="C317" s="230"/>
      <c r="F317" s="230"/>
      <c r="G317" s="230"/>
    </row>
    <row r="318" spans="1:7" ht="19.5" customHeight="1">
      <c r="A318" s="230"/>
      <c r="B318" s="230"/>
      <c r="C318" s="230"/>
      <c r="F318" s="230"/>
      <c r="G318" s="230"/>
    </row>
    <row r="319" spans="1:7" ht="19.5" customHeight="1">
      <c r="A319" s="230"/>
      <c r="B319" s="230"/>
      <c r="C319" s="230"/>
      <c r="F319" s="230"/>
      <c r="G319" s="230"/>
    </row>
    <row r="320" spans="1:7" ht="19.5" customHeight="1">
      <c r="A320" s="230"/>
      <c r="B320" s="230"/>
      <c r="C320" s="230"/>
      <c r="F320" s="230"/>
      <c r="G320" s="230"/>
    </row>
    <row r="321" spans="1:7" ht="19.5" customHeight="1">
      <c r="A321" s="230"/>
      <c r="B321" s="230"/>
      <c r="C321" s="230"/>
      <c r="F321" s="230"/>
      <c r="G321" s="230"/>
    </row>
    <row r="322" spans="1:7" ht="19.5" customHeight="1">
      <c r="A322" s="230"/>
      <c r="B322" s="230"/>
      <c r="C322" s="230"/>
      <c r="F322" s="230"/>
      <c r="G322" s="230"/>
    </row>
    <row r="323" spans="1:7" ht="19.5" customHeight="1">
      <c r="A323" s="230"/>
      <c r="B323" s="230"/>
      <c r="C323" s="230"/>
      <c r="F323" s="230"/>
      <c r="G323" s="230"/>
    </row>
    <row r="324" spans="1:7" ht="19.5" customHeight="1">
      <c r="A324" s="230"/>
      <c r="B324" s="230"/>
      <c r="C324" s="230"/>
      <c r="F324" s="230"/>
      <c r="G324" s="230"/>
    </row>
    <row r="325" spans="1:7" ht="19.5" customHeight="1">
      <c r="A325" s="230"/>
      <c r="B325" s="230"/>
      <c r="C325" s="230"/>
      <c r="F325" s="230"/>
      <c r="G325" s="230"/>
    </row>
    <row r="326" spans="1:7" ht="19.5" customHeight="1">
      <c r="A326" s="230"/>
      <c r="B326" s="230"/>
      <c r="C326" s="230"/>
      <c r="F326" s="230"/>
      <c r="G326" s="230"/>
    </row>
    <row r="327" spans="1:7" ht="19.5" customHeight="1">
      <c r="A327" s="230"/>
      <c r="B327" s="230"/>
      <c r="C327" s="230"/>
      <c r="F327" s="230"/>
      <c r="G327" s="230"/>
    </row>
    <row r="328" spans="1:7" ht="19.5" customHeight="1">
      <c r="A328" s="230"/>
      <c r="B328" s="230"/>
      <c r="C328" s="230"/>
      <c r="F328" s="230"/>
      <c r="G328" s="230"/>
    </row>
    <row r="329" spans="1:7" ht="19.5" customHeight="1">
      <c r="A329" s="230"/>
      <c r="B329" s="230"/>
      <c r="C329" s="230"/>
      <c r="F329" s="230"/>
      <c r="G329" s="230"/>
    </row>
    <row r="330" spans="1:7" ht="19.5" customHeight="1">
      <c r="A330" s="230"/>
      <c r="B330" s="230"/>
      <c r="C330" s="230"/>
      <c r="F330" s="230"/>
      <c r="G330" s="230"/>
    </row>
    <row r="331" spans="1:7" ht="19.5" customHeight="1">
      <c r="A331" s="230"/>
      <c r="B331" s="230"/>
      <c r="C331" s="230"/>
      <c r="F331" s="230"/>
      <c r="G331" s="230"/>
    </row>
    <row r="332" spans="1:7" ht="19.5" customHeight="1">
      <c r="A332" s="230"/>
      <c r="B332" s="230"/>
      <c r="C332" s="230"/>
      <c r="F332" s="230"/>
      <c r="G332" s="230"/>
    </row>
    <row r="333" spans="1:7" ht="19.5" customHeight="1">
      <c r="A333" s="230"/>
      <c r="B333" s="230"/>
      <c r="C333" s="230"/>
      <c r="F333" s="230"/>
      <c r="G333" s="230"/>
    </row>
    <row r="334" spans="1:7" ht="19.5" customHeight="1">
      <c r="A334" s="230"/>
      <c r="B334" s="230"/>
      <c r="C334" s="230"/>
      <c r="F334" s="230"/>
      <c r="G334" s="230"/>
    </row>
    <row r="335" spans="1:7" ht="19.5" customHeight="1">
      <c r="A335" s="230"/>
      <c r="B335" s="230"/>
      <c r="C335" s="230"/>
      <c r="F335" s="230"/>
      <c r="G335" s="230"/>
    </row>
    <row r="336" spans="1:7" ht="19.5" customHeight="1">
      <c r="A336" s="230"/>
      <c r="B336" s="230"/>
      <c r="C336" s="230"/>
      <c r="F336" s="230"/>
      <c r="G336" s="230"/>
    </row>
    <row r="337" spans="1:7" ht="19.5" customHeight="1">
      <c r="A337" s="230"/>
      <c r="B337" s="230"/>
      <c r="C337" s="230"/>
      <c r="F337" s="230"/>
      <c r="G337" s="230"/>
    </row>
    <row r="338" spans="1:7" ht="19.5" customHeight="1">
      <c r="A338" s="230"/>
      <c r="B338" s="230"/>
      <c r="C338" s="230"/>
      <c r="F338" s="230"/>
      <c r="G338" s="230"/>
    </row>
    <row r="339" spans="1:7" ht="19.5" customHeight="1">
      <c r="A339" s="230"/>
      <c r="B339" s="230"/>
      <c r="C339" s="230"/>
      <c r="F339" s="230"/>
      <c r="G339" s="230"/>
    </row>
    <row r="340" spans="1:7" ht="19.5" customHeight="1">
      <c r="A340" s="230"/>
      <c r="B340" s="230"/>
      <c r="C340" s="230"/>
      <c r="F340" s="230"/>
      <c r="G340" s="230"/>
    </row>
    <row r="341" spans="1:7" ht="19.5" customHeight="1">
      <c r="A341" s="230"/>
      <c r="B341" s="230"/>
      <c r="C341" s="230"/>
      <c r="F341" s="230"/>
      <c r="G341" s="230"/>
    </row>
    <row r="342" spans="1:7" ht="19.5" customHeight="1">
      <c r="A342" s="230"/>
      <c r="B342" s="230"/>
      <c r="C342" s="230"/>
      <c r="F342" s="230"/>
      <c r="G342" s="230"/>
    </row>
    <row r="343" spans="1:7" ht="19.5" customHeight="1">
      <c r="A343" s="230"/>
      <c r="B343" s="230"/>
      <c r="C343" s="230"/>
      <c r="F343" s="230"/>
      <c r="G343" s="230"/>
    </row>
    <row r="344" spans="1:7" ht="19.5" customHeight="1">
      <c r="A344" s="230"/>
      <c r="B344" s="230"/>
      <c r="C344" s="230"/>
      <c r="F344" s="230"/>
      <c r="G344" s="230"/>
    </row>
    <row r="345" spans="1:7" ht="19.5" customHeight="1">
      <c r="A345" s="230"/>
      <c r="B345" s="230"/>
      <c r="C345" s="230"/>
      <c r="F345" s="230"/>
      <c r="G345" s="230"/>
    </row>
    <row r="346" spans="1:7" ht="19.5" customHeight="1">
      <c r="A346" s="230"/>
      <c r="B346" s="230"/>
      <c r="C346" s="230"/>
      <c r="F346" s="230"/>
      <c r="G346" s="230"/>
    </row>
    <row r="347" spans="1:7" ht="19.5" customHeight="1">
      <c r="A347" s="230"/>
      <c r="B347" s="230"/>
      <c r="C347" s="230"/>
      <c r="F347" s="230"/>
      <c r="G347" s="230"/>
    </row>
    <row r="348" spans="1:7" ht="19.5" customHeight="1">
      <c r="A348" s="230"/>
      <c r="B348" s="230"/>
      <c r="C348" s="230"/>
      <c r="F348" s="230"/>
      <c r="G348" s="230"/>
    </row>
    <row r="349" spans="1:7" ht="19.5" customHeight="1">
      <c r="A349" s="230"/>
      <c r="B349" s="230"/>
      <c r="C349" s="230"/>
      <c r="F349" s="230"/>
      <c r="G349" s="230"/>
    </row>
    <row r="350" spans="1:7" ht="19.5" customHeight="1">
      <c r="A350" s="230"/>
      <c r="B350" s="230"/>
      <c r="C350" s="230"/>
      <c r="F350" s="230"/>
      <c r="G350" s="230"/>
    </row>
    <row r="351" spans="1:7" ht="19.5" customHeight="1">
      <c r="A351" s="230"/>
      <c r="B351" s="230"/>
      <c r="C351" s="230"/>
      <c r="F351" s="230"/>
      <c r="G351" s="230"/>
    </row>
    <row r="352" spans="1:7" ht="19.5" customHeight="1">
      <c r="A352" s="230"/>
      <c r="B352" s="230"/>
      <c r="C352" s="230"/>
      <c r="F352" s="230"/>
      <c r="G352" s="230"/>
    </row>
    <row r="353" spans="1:7" ht="19.5" customHeight="1">
      <c r="A353" s="230"/>
      <c r="B353" s="230"/>
      <c r="C353" s="230"/>
      <c r="F353" s="230"/>
      <c r="G353" s="230"/>
    </row>
    <row r="354" spans="1:7" ht="19.5" customHeight="1">
      <c r="A354" s="230"/>
      <c r="B354" s="230"/>
      <c r="C354" s="230"/>
      <c r="F354" s="230"/>
      <c r="G354" s="230"/>
    </row>
    <row r="355" spans="1:7" ht="19.5" customHeight="1">
      <c r="A355" s="230"/>
      <c r="B355" s="230"/>
      <c r="C355" s="230"/>
      <c r="F355" s="230"/>
      <c r="G355" s="230"/>
    </row>
    <row r="356" spans="1:7" ht="19.5" customHeight="1">
      <c r="A356" s="230"/>
      <c r="B356" s="230"/>
      <c r="C356" s="230"/>
      <c r="F356" s="230"/>
      <c r="G356" s="230"/>
    </row>
    <row r="357" spans="1:7" ht="19.5" customHeight="1">
      <c r="A357" s="230"/>
      <c r="B357" s="230"/>
      <c r="C357" s="230"/>
      <c r="F357" s="230"/>
      <c r="G357" s="230"/>
    </row>
    <row r="358" spans="1:7" ht="19.5" customHeight="1">
      <c r="A358" s="230"/>
      <c r="B358" s="230"/>
      <c r="C358" s="230"/>
      <c r="F358" s="230"/>
      <c r="G358" s="230"/>
    </row>
    <row r="359" spans="1:7" ht="19.5" customHeight="1">
      <c r="A359" s="230"/>
      <c r="B359" s="230"/>
      <c r="C359" s="230"/>
      <c r="F359" s="230"/>
      <c r="G359" s="230"/>
    </row>
    <row r="360" spans="1:7" ht="19.5" customHeight="1">
      <c r="A360" s="230"/>
      <c r="B360" s="230"/>
      <c r="C360" s="230"/>
      <c r="F360" s="230"/>
      <c r="G360" s="230"/>
    </row>
    <row r="361" spans="1:7" ht="19.5" customHeight="1">
      <c r="A361" s="230"/>
      <c r="B361" s="230"/>
      <c r="C361" s="230"/>
      <c r="F361" s="230"/>
      <c r="G361" s="230"/>
    </row>
    <row r="362" spans="1:7" ht="19.5" customHeight="1">
      <c r="A362" s="230"/>
      <c r="B362" s="230"/>
      <c r="C362" s="230"/>
      <c r="F362" s="230"/>
      <c r="G362" s="230"/>
    </row>
    <row r="363" spans="1:7" ht="19.5" customHeight="1">
      <c r="A363" s="230"/>
      <c r="B363" s="230"/>
      <c r="C363" s="230"/>
      <c r="F363" s="230"/>
      <c r="G363" s="230"/>
    </row>
    <row r="364" spans="1:7" ht="19.5" customHeight="1">
      <c r="A364" s="230"/>
      <c r="B364" s="230"/>
      <c r="C364" s="230"/>
      <c r="F364" s="230"/>
      <c r="G364" s="230"/>
    </row>
    <row r="365" spans="1:7" ht="19.5" customHeight="1">
      <c r="A365" s="230"/>
      <c r="B365" s="230"/>
      <c r="C365" s="230"/>
      <c r="F365" s="230"/>
      <c r="G365" s="230"/>
    </row>
    <row r="366" spans="1:7" ht="19.5" customHeight="1">
      <c r="A366" s="230"/>
      <c r="B366" s="230"/>
      <c r="C366" s="230"/>
      <c r="F366" s="230"/>
      <c r="G366" s="230"/>
    </row>
    <row r="367" spans="1:7" ht="19.5" customHeight="1">
      <c r="A367" s="230"/>
      <c r="B367" s="230"/>
      <c r="C367" s="230"/>
      <c r="F367" s="230"/>
      <c r="G367" s="230"/>
    </row>
    <row r="368" spans="1:7" ht="19.5" customHeight="1">
      <c r="A368" s="230"/>
      <c r="B368" s="230"/>
      <c r="C368" s="230"/>
      <c r="F368" s="230"/>
      <c r="G368" s="230"/>
    </row>
    <row r="369" spans="1:7" ht="19.5" customHeight="1">
      <c r="A369" s="230"/>
      <c r="B369" s="230"/>
      <c r="C369" s="230"/>
      <c r="F369" s="230"/>
      <c r="G369" s="230"/>
    </row>
    <row r="370" spans="1:7" ht="19.5" customHeight="1">
      <c r="A370" s="230"/>
      <c r="B370" s="230"/>
      <c r="C370" s="230"/>
      <c r="F370" s="230"/>
      <c r="G370" s="230"/>
    </row>
    <row r="371" spans="1:7" ht="19.5" customHeight="1">
      <c r="A371" s="230"/>
      <c r="B371" s="230"/>
      <c r="C371" s="230"/>
      <c r="F371" s="230"/>
      <c r="G371" s="230"/>
    </row>
    <row r="372" spans="1:7" ht="19.5" customHeight="1">
      <c r="A372" s="230"/>
      <c r="B372" s="230"/>
      <c r="C372" s="230"/>
      <c r="F372" s="230"/>
      <c r="G372" s="230"/>
    </row>
    <row r="373" spans="1:7" ht="19.5" customHeight="1">
      <c r="A373" s="230"/>
      <c r="B373" s="230"/>
      <c r="C373" s="230"/>
      <c r="F373" s="230"/>
      <c r="G373" s="230"/>
    </row>
    <row r="374" spans="1:7" ht="19.5" customHeight="1">
      <c r="A374" s="230"/>
      <c r="B374" s="230"/>
      <c r="C374" s="230"/>
      <c r="F374" s="230"/>
      <c r="G374" s="230"/>
    </row>
    <row r="375" spans="1:7" ht="19.5" customHeight="1">
      <c r="A375" s="230"/>
      <c r="B375" s="230"/>
      <c r="C375" s="230"/>
      <c r="F375" s="230"/>
      <c r="G375" s="230"/>
    </row>
    <row r="376" spans="1:7" ht="19.5" customHeight="1">
      <c r="A376" s="230"/>
      <c r="B376" s="230"/>
      <c r="C376" s="230"/>
      <c r="F376" s="230"/>
      <c r="G376" s="230"/>
    </row>
    <row r="377" spans="1:7" ht="19.5" customHeight="1">
      <c r="A377" s="230"/>
      <c r="B377" s="230"/>
      <c r="C377" s="230"/>
      <c r="F377" s="230"/>
      <c r="G377" s="230"/>
    </row>
    <row r="378" spans="1:7" ht="19.5" customHeight="1">
      <c r="A378" s="230"/>
      <c r="B378" s="230"/>
      <c r="C378" s="230"/>
      <c r="F378" s="230"/>
      <c r="G378" s="230"/>
    </row>
    <row r="379" spans="1:7" ht="19.5" customHeight="1">
      <c r="A379" s="230"/>
      <c r="B379" s="230"/>
      <c r="C379" s="230"/>
      <c r="F379" s="230"/>
      <c r="G379" s="230"/>
    </row>
    <row r="380" spans="1:7" ht="19.5" customHeight="1">
      <c r="A380" s="230"/>
      <c r="B380" s="230"/>
      <c r="C380" s="230"/>
      <c r="F380" s="230"/>
      <c r="G380" s="230"/>
    </row>
    <row r="381" spans="1:7" ht="19.5" customHeight="1">
      <c r="A381" s="230"/>
      <c r="B381" s="230"/>
      <c r="C381" s="230"/>
      <c r="F381" s="230"/>
      <c r="G381" s="230"/>
    </row>
    <row r="382" spans="1:7" ht="19.5" customHeight="1">
      <c r="A382" s="230"/>
      <c r="B382" s="230"/>
      <c r="C382" s="230"/>
      <c r="F382" s="230"/>
      <c r="G382" s="230"/>
    </row>
    <row r="383" spans="1:7" ht="19.5" customHeight="1">
      <c r="A383" s="230"/>
      <c r="B383" s="230"/>
      <c r="C383" s="230"/>
      <c r="F383" s="230"/>
      <c r="G383" s="230"/>
    </row>
    <row r="384" spans="1:7" ht="19.5" customHeight="1">
      <c r="A384" s="230"/>
      <c r="B384" s="230"/>
      <c r="C384" s="230"/>
      <c r="F384" s="230"/>
      <c r="G384" s="230"/>
    </row>
    <row r="385" spans="1:7" ht="19.5" customHeight="1">
      <c r="A385" s="230"/>
      <c r="B385" s="230"/>
      <c r="C385" s="230"/>
      <c r="F385" s="230"/>
      <c r="G385" s="230"/>
    </row>
    <row r="386" spans="1:7" ht="19.5" customHeight="1">
      <c r="A386" s="230"/>
      <c r="B386" s="230"/>
      <c r="C386" s="230"/>
      <c r="F386" s="230"/>
      <c r="G386" s="230"/>
    </row>
    <row r="387" spans="1:7" ht="19.5" customHeight="1">
      <c r="A387" s="230"/>
      <c r="B387" s="230"/>
      <c r="C387" s="230"/>
      <c r="F387" s="230"/>
      <c r="G387" s="230"/>
    </row>
    <row r="388" spans="1:7" ht="19.5" customHeight="1">
      <c r="A388" s="230"/>
      <c r="B388" s="230"/>
      <c r="C388" s="230"/>
      <c r="F388" s="230"/>
      <c r="G388" s="230"/>
    </row>
    <row r="389" spans="1:7" ht="19.5" customHeight="1">
      <c r="A389" s="230"/>
      <c r="B389" s="230"/>
      <c r="C389" s="230"/>
      <c r="F389" s="230"/>
      <c r="G389" s="230"/>
    </row>
    <row r="390" spans="1:7" ht="19.5" customHeight="1">
      <c r="A390" s="230"/>
      <c r="B390" s="230"/>
      <c r="C390" s="230"/>
      <c r="F390" s="230"/>
      <c r="G390" s="230"/>
    </row>
    <row r="391" spans="1:7" ht="19.5" customHeight="1">
      <c r="A391" s="230"/>
      <c r="B391" s="230"/>
      <c r="C391" s="230"/>
      <c r="F391" s="230"/>
      <c r="G391" s="230"/>
    </row>
    <row r="392" spans="1:7" ht="19.5" customHeight="1">
      <c r="A392" s="230"/>
      <c r="B392" s="230"/>
      <c r="C392" s="230"/>
      <c r="F392" s="230"/>
      <c r="G392" s="230"/>
    </row>
    <row r="393" spans="1:7" ht="19.5" customHeight="1">
      <c r="A393" s="230"/>
      <c r="B393" s="230"/>
      <c r="C393" s="230"/>
      <c r="F393" s="230"/>
      <c r="G393" s="230"/>
    </row>
    <row r="394" spans="1:7" ht="19.5" customHeight="1">
      <c r="A394" s="230"/>
      <c r="B394" s="230"/>
      <c r="C394" s="230"/>
      <c r="F394" s="230"/>
      <c r="G394" s="230"/>
    </row>
    <row r="395" spans="1:7" ht="19.5" customHeight="1">
      <c r="A395" s="230"/>
      <c r="B395" s="230"/>
      <c r="C395" s="230"/>
      <c r="F395" s="230"/>
      <c r="G395" s="230"/>
    </row>
    <row r="396" spans="1:7" ht="19.5" customHeight="1">
      <c r="A396" s="230"/>
      <c r="B396" s="230"/>
      <c r="C396" s="230"/>
      <c r="F396" s="230"/>
      <c r="G396" s="230"/>
    </row>
    <row r="397" spans="1:7" ht="19.5" customHeight="1">
      <c r="A397" s="230"/>
      <c r="B397" s="230"/>
      <c r="C397" s="230"/>
      <c r="F397" s="230"/>
      <c r="G397" s="230"/>
    </row>
    <row r="398" spans="1:7" ht="19.5" customHeight="1">
      <c r="A398" s="230"/>
      <c r="B398" s="230"/>
      <c r="C398" s="230"/>
      <c r="F398" s="230"/>
      <c r="G398" s="230"/>
    </row>
    <row r="399" spans="1:7" ht="19.5" customHeight="1">
      <c r="A399" s="230"/>
      <c r="B399" s="230"/>
      <c r="C399" s="230"/>
      <c r="F399" s="230"/>
      <c r="G399" s="230"/>
    </row>
    <row r="400" spans="1:7" ht="19.5" customHeight="1">
      <c r="A400" s="230"/>
      <c r="B400" s="230"/>
      <c r="C400" s="230"/>
      <c r="F400" s="230"/>
      <c r="G400" s="230"/>
    </row>
    <row r="401" spans="1:7" ht="19.5" customHeight="1">
      <c r="A401" s="230"/>
      <c r="B401" s="230"/>
      <c r="C401" s="230"/>
      <c r="F401" s="230"/>
      <c r="G401" s="230"/>
    </row>
    <row r="402" spans="1:7" ht="19.5" customHeight="1">
      <c r="A402" s="230"/>
      <c r="B402" s="230"/>
      <c r="C402" s="230"/>
      <c r="F402" s="230"/>
      <c r="G402" s="230"/>
    </row>
    <row r="403" spans="1:7" ht="19.5" customHeight="1">
      <c r="A403" s="230"/>
      <c r="B403" s="230"/>
      <c r="C403" s="230"/>
      <c r="F403" s="230"/>
      <c r="G403" s="230"/>
    </row>
    <row r="404" spans="1:7" ht="19.5" customHeight="1">
      <c r="A404" s="230"/>
      <c r="B404" s="230"/>
      <c r="C404" s="230"/>
      <c r="F404" s="230"/>
      <c r="G404" s="230"/>
    </row>
    <row r="405" spans="1:7" ht="19.5" customHeight="1">
      <c r="A405" s="230"/>
      <c r="B405" s="230"/>
      <c r="C405" s="230"/>
      <c r="F405" s="230"/>
      <c r="G405" s="230"/>
    </row>
    <row r="406" spans="1:7" ht="19.5" customHeight="1">
      <c r="A406" s="230"/>
      <c r="B406" s="230"/>
      <c r="C406" s="230"/>
      <c r="F406" s="230"/>
      <c r="G406" s="230"/>
    </row>
    <row r="407" spans="1:7" ht="19.5" customHeight="1">
      <c r="A407" s="230"/>
      <c r="B407" s="230"/>
      <c r="C407" s="230"/>
      <c r="F407" s="230"/>
      <c r="G407" s="230"/>
    </row>
    <row r="408" spans="1:7" ht="19.5" customHeight="1">
      <c r="A408" s="230"/>
      <c r="B408" s="230"/>
      <c r="C408" s="230"/>
      <c r="F408" s="230"/>
      <c r="G408" s="230"/>
    </row>
    <row r="409" spans="1:7" ht="19.5" customHeight="1">
      <c r="A409" s="230"/>
      <c r="B409" s="230"/>
      <c r="C409" s="230"/>
      <c r="F409" s="230"/>
      <c r="G409" s="230"/>
    </row>
    <row r="410" spans="1:7" ht="19.5" customHeight="1">
      <c r="A410" s="230"/>
      <c r="B410" s="230"/>
      <c r="C410" s="230"/>
      <c r="F410" s="230"/>
      <c r="G410" s="230"/>
    </row>
    <row r="411" spans="1:7" ht="19.5" customHeight="1">
      <c r="A411" s="230"/>
      <c r="B411" s="230"/>
      <c r="C411" s="230"/>
      <c r="F411" s="230"/>
      <c r="G411" s="230"/>
    </row>
    <row r="412" spans="1:7" ht="19.5" customHeight="1">
      <c r="A412" s="230"/>
      <c r="B412" s="230"/>
      <c r="C412" s="230"/>
      <c r="F412" s="230"/>
      <c r="G412" s="230"/>
    </row>
    <row r="413" spans="1:7" ht="19.5" customHeight="1">
      <c r="A413" s="230"/>
      <c r="B413" s="230"/>
      <c r="C413" s="230"/>
      <c r="F413" s="230"/>
      <c r="G413" s="230"/>
    </row>
    <row r="414" spans="1:7" ht="19.5" customHeight="1">
      <c r="A414" s="230"/>
      <c r="B414" s="230"/>
      <c r="C414" s="230"/>
      <c r="F414" s="230"/>
      <c r="G414" s="230"/>
    </row>
    <row r="415" spans="1:7" ht="19.5" customHeight="1">
      <c r="A415" s="230"/>
      <c r="B415" s="230"/>
      <c r="C415" s="230"/>
      <c r="F415" s="230"/>
      <c r="G415" s="230"/>
    </row>
    <row r="416" spans="1:7" ht="19.5" customHeight="1">
      <c r="A416" s="230"/>
      <c r="B416" s="230"/>
      <c r="C416" s="230"/>
      <c r="F416" s="230"/>
      <c r="G416" s="230"/>
    </row>
    <row r="417" spans="1:7" ht="19.5" customHeight="1">
      <c r="A417" s="230"/>
      <c r="B417" s="230"/>
      <c r="C417" s="230"/>
      <c r="F417" s="230"/>
      <c r="G417" s="230"/>
    </row>
    <row r="418" spans="1:7" ht="19.5" customHeight="1">
      <c r="A418" s="230"/>
      <c r="B418" s="230"/>
      <c r="C418" s="230"/>
      <c r="F418" s="230"/>
      <c r="G418" s="230"/>
    </row>
    <row r="419" spans="1:7" ht="19.5" customHeight="1">
      <c r="A419" s="230"/>
      <c r="B419" s="230"/>
      <c r="C419" s="230"/>
      <c r="F419" s="230"/>
      <c r="G419" s="230"/>
    </row>
    <row r="420" spans="1:7" ht="19.5" customHeight="1">
      <c r="A420" s="230"/>
      <c r="B420" s="230"/>
      <c r="C420" s="230"/>
      <c r="F420" s="230"/>
      <c r="G420" s="230"/>
    </row>
    <row r="421" spans="1:7" ht="19.5" customHeight="1">
      <c r="A421" s="230"/>
      <c r="B421" s="230"/>
      <c r="C421" s="230"/>
      <c r="F421" s="230"/>
      <c r="G421" s="230"/>
    </row>
    <row r="422" spans="1:7" ht="19.5" customHeight="1">
      <c r="A422" s="230"/>
      <c r="B422" s="230"/>
      <c r="C422" s="230"/>
      <c r="F422" s="230"/>
      <c r="G422" s="230"/>
    </row>
    <row r="423" spans="1:7" ht="19.5" customHeight="1">
      <c r="A423" s="230"/>
      <c r="B423" s="230"/>
      <c r="C423" s="230"/>
      <c r="F423" s="230"/>
      <c r="G423" s="230"/>
    </row>
    <row r="424" spans="1:7" ht="19.5" customHeight="1">
      <c r="A424" s="230"/>
      <c r="B424" s="230"/>
      <c r="C424" s="230"/>
      <c r="F424" s="230"/>
      <c r="G424" s="230"/>
    </row>
    <row r="425" spans="1:7" ht="19.5" customHeight="1">
      <c r="A425" s="230"/>
      <c r="B425" s="230"/>
      <c r="C425" s="230"/>
      <c r="F425" s="230"/>
      <c r="G425" s="230"/>
    </row>
    <row r="426" spans="1:7" ht="19.5" customHeight="1">
      <c r="A426" s="230"/>
      <c r="B426" s="230"/>
      <c r="C426" s="230"/>
      <c r="F426" s="230"/>
      <c r="G426" s="230"/>
    </row>
    <row r="427" spans="1:7" ht="19.5" customHeight="1">
      <c r="A427" s="230"/>
      <c r="B427" s="230"/>
      <c r="C427" s="230"/>
      <c r="F427" s="230"/>
      <c r="G427" s="230"/>
    </row>
    <row r="428" spans="1:7" ht="19.5" customHeight="1">
      <c r="A428" s="230"/>
      <c r="B428" s="230"/>
      <c r="C428" s="230"/>
      <c r="F428" s="230"/>
      <c r="G428" s="230"/>
    </row>
    <row r="429" spans="1:7" ht="19.5" customHeight="1">
      <c r="A429" s="230"/>
      <c r="B429" s="230"/>
      <c r="C429" s="230"/>
      <c r="F429" s="230"/>
      <c r="G429" s="230"/>
    </row>
    <row r="430" spans="1:7" ht="19.5" customHeight="1">
      <c r="A430" s="230"/>
      <c r="B430" s="230"/>
      <c r="C430" s="230"/>
      <c r="F430" s="230"/>
      <c r="G430" s="230"/>
    </row>
    <row r="431" spans="1:7" ht="19.5" customHeight="1">
      <c r="A431" s="230"/>
      <c r="B431" s="230"/>
      <c r="C431" s="230"/>
      <c r="F431" s="230"/>
      <c r="G431" s="230"/>
    </row>
    <row r="432" spans="1:7" ht="19.5" customHeight="1">
      <c r="A432" s="230"/>
      <c r="B432" s="230"/>
      <c r="C432" s="230"/>
      <c r="F432" s="230"/>
      <c r="G432" s="230"/>
    </row>
    <row r="433" spans="1:7" ht="19.5" customHeight="1">
      <c r="A433" s="230"/>
      <c r="B433" s="230"/>
      <c r="C433" s="230"/>
      <c r="F433" s="230"/>
      <c r="G433" s="230"/>
    </row>
    <row r="434" spans="1:7" ht="19.5" customHeight="1">
      <c r="A434" s="230"/>
      <c r="B434" s="230"/>
      <c r="C434" s="230"/>
      <c r="F434" s="230"/>
      <c r="G434" s="230"/>
    </row>
    <row r="435" spans="1:7" ht="19.5" customHeight="1">
      <c r="A435" s="230"/>
      <c r="B435" s="230"/>
      <c r="C435" s="230"/>
      <c r="F435" s="230"/>
      <c r="G435" s="230"/>
    </row>
    <row r="436" spans="1:7" ht="19.5" customHeight="1">
      <c r="A436" s="230"/>
      <c r="B436" s="230"/>
      <c r="C436" s="230"/>
      <c r="F436" s="230"/>
      <c r="G436" s="230"/>
    </row>
    <row r="437" spans="1:7" ht="19.5" customHeight="1">
      <c r="A437" s="230"/>
      <c r="B437" s="230"/>
      <c r="C437" s="230"/>
      <c r="F437" s="230"/>
      <c r="G437" s="230"/>
    </row>
    <row r="438" spans="1:7" ht="19.5" customHeight="1">
      <c r="A438" s="230"/>
      <c r="B438" s="230"/>
      <c r="C438" s="230"/>
      <c r="F438" s="230"/>
      <c r="G438" s="230"/>
    </row>
    <row r="439" spans="1:7" ht="19.5" customHeight="1">
      <c r="A439" s="230"/>
      <c r="B439" s="230"/>
      <c r="C439" s="230"/>
      <c r="F439" s="230"/>
      <c r="G439" s="230"/>
    </row>
    <row r="440" spans="1:7" ht="19.5" customHeight="1">
      <c r="A440" s="230"/>
      <c r="B440" s="230"/>
      <c r="C440" s="230"/>
      <c r="F440" s="230"/>
      <c r="G440" s="230"/>
    </row>
    <row r="441" spans="1:7" ht="19.5" customHeight="1">
      <c r="A441" s="230"/>
      <c r="B441" s="230"/>
      <c r="C441" s="230"/>
      <c r="F441" s="230"/>
      <c r="G441" s="230"/>
    </row>
    <row r="442" spans="1:7" ht="19.5" customHeight="1">
      <c r="A442" s="230"/>
      <c r="B442" s="230"/>
      <c r="C442" s="230"/>
      <c r="F442" s="230"/>
      <c r="G442" s="230"/>
    </row>
    <row r="443" spans="1:7" ht="19.5" customHeight="1">
      <c r="A443" s="230"/>
      <c r="B443" s="230"/>
      <c r="C443" s="230"/>
      <c r="F443" s="230"/>
      <c r="G443" s="230"/>
    </row>
    <row r="444" spans="1:7" ht="19.5" customHeight="1">
      <c r="A444" s="230"/>
      <c r="B444" s="230"/>
      <c r="C444" s="230"/>
      <c r="F444" s="230"/>
      <c r="G444" s="230"/>
    </row>
    <row r="445" spans="1:7" ht="19.5" customHeight="1">
      <c r="A445" s="230"/>
      <c r="B445" s="230"/>
      <c r="C445" s="230"/>
      <c r="F445" s="230"/>
      <c r="G445" s="230"/>
    </row>
    <row r="446" spans="1:7" ht="19.5" customHeight="1">
      <c r="A446" s="230"/>
      <c r="B446" s="230"/>
      <c r="C446" s="230"/>
      <c r="F446" s="230"/>
      <c r="G446" s="230"/>
    </row>
    <row r="447" spans="1:7" ht="19.5" customHeight="1">
      <c r="A447" s="230"/>
      <c r="B447" s="230"/>
      <c r="C447" s="230"/>
      <c r="F447" s="230"/>
      <c r="G447" s="230"/>
    </row>
    <row r="448" spans="1:7" ht="19.5" customHeight="1">
      <c r="A448" s="230"/>
      <c r="B448" s="230"/>
      <c r="C448" s="230"/>
      <c r="F448" s="230"/>
      <c r="G448" s="230"/>
    </row>
    <row r="449" spans="1:7" ht="19.5" customHeight="1">
      <c r="A449" s="230"/>
      <c r="B449" s="230"/>
      <c r="C449" s="230"/>
      <c r="F449" s="230"/>
      <c r="G449" s="230"/>
    </row>
    <row r="450" spans="1:7" ht="19.5" customHeight="1">
      <c r="A450" s="230"/>
      <c r="B450" s="230"/>
      <c r="C450" s="230"/>
      <c r="F450" s="230"/>
      <c r="G450" s="230"/>
    </row>
    <row r="451" spans="1:7" ht="19.5" customHeight="1">
      <c r="A451" s="230"/>
      <c r="B451" s="230"/>
      <c r="C451" s="230"/>
      <c r="F451" s="230"/>
      <c r="G451" s="230"/>
    </row>
    <row r="452" spans="1:7" ht="19.5" customHeight="1">
      <c r="A452" s="230"/>
      <c r="B452" s="230"/>
      <c r="C452" s="230"/>
      <c r="F452" s="230"/>
      <c r="G452" s="230"/>
    </row>
    <row r="453" spans="1:7" ht="19.5" customHeight="1">
      <c r="A453" s="230"/>
      <c r="B453" s="230"/>
      <c r="C453" s="230"/>
      <c r="F453" s="230"/>
      <c r="G453" s="230"/>
    </row>
    <row r="454" spans="1:7" ht="19.5" customHeight="1">
      <c r="A454" s="230"/>
      <c r="B454" s="230"/>
      <c r="C454" s="230"/>
      <c r="F454" s="230"/>
      <c r="G454" s="230"/>
    </row>
    <row r="455" spans="1:7" ht="19.5" customHeight="1">
      <c r="A455" s="230"/>
      <c r="B455" s="230"/>
      <c r="C455" s="230"/>
      <c r="F455" s="230"/>
      <c r="G455" s="230"/>
    </row>
    <row r="456" spans="1:7" ht="19.5" customHeight="1">
      <c r="A456" s="230"/>
      <c r="B456" s="230"/>
      <c r="C456" s="230"/>
      <c r="F456" s="230"/>
      <c r="G456" s="230"/>
    </row>
    <row r="457" spans="1:7" ht="19.5" customHeight="1">
      <c r="A457" s="230"/>
      <c r="B457" s="230"/>
      <c r="C457" s="230"/>
      <c r="F457" s="230"/>
      <c r="G457" s="230"/>
    </row>
    <row r="458" spans="1:7" ht="19.5" customHeight="1">
      <c r="A458" s="230"/>
      <c r="B458" s="230"/>
      <c r="C458" s="230"/>
      <c r="F458" s="230"/>
      <c r="G458" s="230"/>
    </row>
    <row r="459" spans="1:7" ht="19.5" customHeight="1">
      <c r="A459" s="230"/>
      <c r="B459" s="230"/>
      <c r="C459" s="230"/>
      <c r="F459" s="230"/>
      <c r="G459" s="230"/>
    </row>
    <row r="460" spans="1:7" ht="19.5" customHeight="1">
      <c r="A460" s="230"/>
      <c r="B460" s="230"/>
      <c r="C460" s="230"/>
      <c r="F460" s="230"/>
      <c r="G460" s="230"/>
    </row>
    <row r="461" spans="1:7" ht="19.5" customHeight="1">
      <c r="A461" s="230"/>
      <c r="B461" s="230"/>
      <c r="C461" s="230"/>
      <c r="F461" s="230"/>
      <c r="G461" s="230"/>
    </row>
    <row r="462" spans="1:7" ht="19.5" customHeight="1">
      <c r="A462" s="230"/>
      <c r="B462" s="230"/>
      <c r="C462" s="230"/>
      <c r="F462" s="230"/>
      <c r="G462" s="230"/>
    </row>
    <row r="463" spans="1:7" ht="19.5" customHeight="1">
      <c r="A463" s="230"/>
      <c r="B463" s="230"/>
      <c r="C463" s="230"/>
      <c r="F463" s="230"/>
      <c r="G463" s="230"/>
    </row>
    <row r="464" spans="1:7" ht="19.5" customHeight="1">
      <c r="A464" s="230"/>
      <c r="B464" s="230"/>
      <c r="C464" s="230"/>
      <c r="F464" s="230"/>
      <c r="G464" s="230"/>
    </row>
    <row r="465" spans="1:7" ht="19.5" customHeight="1">
      <c r="A465" s="230"/>
      <c r="B465" s="230"/>
      <c r="C465" s="230"/>
      <c r="F465" s="230"/>
      <c r="G465" s="230"/>
    </row>
    <row r="466" spans="1:7" ht="19.5" customHeight="1">
      <c r="A466" s="230"/>
      <c r="B466" s="230"/>
      <c r="C466" s="230"/>
      <c r="F466" s="230"/>
      <c r="G466" s="230"/>
    </row>
    <row r="467" spans="1:7" ht="19.5" customHeight="1">
      <c r="A467" s="230"/>
      <c r="B467" s="230"/>
      <c r="C467" s="230"/>
      <c r="F467" s="230"/>
      <c r="G467" s="230"/>
    </row>
    <row r="468" spans="1:7" ht="19.5" customHeight="1">
      <c r="A468" s="230"/>
      <c r="B468" s="230"/>
      <c r="C468" s="230"/>
      <c r="F468" s="230"/>
      <c r="G468" s="230"/>
    </row>
    <row r="469" spans="1:7" ht="19.5" customHeight="1">
      <c r="A469" s="230"/>
      <c r="B469" s="230"/>
      <c r="C469" s="230"/>
      <c r="F469" s="230"/>
      <c r="G469" s="230"/>
    </row>
    <row r="470" spans="1:7" ht="19.5" customHeight="1">
      <c r="A470" s="230"/>
      <c r="B470" s="230"/>
      <c r="C470" s="230"/>
      <c r="F470" s="230"/>
      <c r="G470" s="230"/>
    </row>
    <row r="471" spans="1:7" ht="19.5" customHeight="1">
      <c r="A471" s="230"/>
      <c r="B471" s="230"/>
      <c r="C471" s="230"/>
      <c r="F471" s="230"/>
      <c r="G471" s="230"/>
    </row>
    <row r="472" spans="1:7" ht="19.5" customHeight="1">
      <c r="A472" s="230"/>
      <c r="B472" s="230"/>
      <c r="C472" s="230"/>
      <c r="F472" s="230"/>
      <c r="G472" s="230"/>
    </row>
    <row r="473" spans="1:7" ht="19.5" customHeight="1">
      <c r="A473" s="230"/>
      <c r="B473" s="230"/>
      <c r="C473" s="230"/>
      <c r="F473" s="230"/>
      <c r="G473" s="230"/>
    </row>
    <row r="474" spans="1:7" ht="19.5" customHeight="1">
      <c r="A474" s="230"/>
      <c r="B474" s="230"/>
      <c r="C474" s="230"/>
      <c r="F474" s="230"/>
      <c r="G474" s="230"/>
    </row>
    <row r="475" spans="1:7" ht="19.5" customHeight="1">
      <c r="A475" s="230"/>
      <c r="B475" s="230"/>
      <c r="C475" s="230"/>
      <c r="F475" s="230"/>
      <c r="G475" s="230"/>
    </row>
    <row r="476" spans="1:7" ht="19.5" customHeight="1">
      <c r="A476" s="230"/>
      <c r="B476" s="230"/>
      <c r="C476" s="230"/>
      <c r="F476" s="230"/>
      <c r="G476" s="230"/>
    </row>
    <row r="477" spans="1:7" ht="19.5" customHeight="1">
      <c r="A477" s="230"/>
      <c r="B477" s="230"/>
      <c r="C477" s="230"/>
      <c r="F477" s="230"/>
      <c r="G477" s="230"/>
    </row>
    <row r="478" spans="1:7" ht="19.5" customHeight="1">
      <c r="A478" s="230"/>
      <c r="B478" s="230"/>
      <c r="C478" s="230"/>
      <c r="F478" s="230"/>
      <c r="G478" s="230"/>
    </row>
    <row r="479" spans="1:7" ht="19.5" customHeight="1">
      <c r="A479" s="230"/>
      <c r="B479" s="230"/>
      <c r="C479" s="230"/>
      <c r="F479" s="230"/>
      <c r="G479" s="230"/>
    </row>
    <row r="480" spans="1:7" ht="19.5" customHeight="1">
      <c r="A480" s="230"/>
      <c r="B480" s="230"/>
      <c r="C480" s="230"/>
      <c r="F480" s="230"/>
      <c r="G480" s="230"/>
    </row>
    <row r="481" spans="1:7" ht="19.5" customHeight="1">
      <c r="A481" s="230"/>
      <c r="B481" s="230"/>
      <c r="C481" s="230"/>
      <c r="F481" s="230"/>
      <c r="G481" s="230"/>
    </row>
    <row r="482" spans="1:7" ht="19.5" customHeight="1">
      <c r="A482" s="230"/>
      <c r="B482" s="230"/>
      <c r="C482" s="230"/>
      <c r="F482" s="230"/>
      <c r="G482" s="230"/>
    </row>
    <row r="483" spans="1:7" ht="19.5" customHeight="1">
      <c r="A483" s="230"/>
      <c r="B483" s="230"/>
      <c r="C483" s="230"/>
      <c r="F483" s="230"/>
      <c r="G483" s="230"/>
    </row>
    <row r="484" spans="1:7" ht="19.5" customHeight="1">
      <c r="A484" s="230"/>
      <c r="B484" s="230"/>
      <c r="C484" s="230"/>
      <c r="F484" s="230"/>
      <c r="G484" s="230"/>
    </row>
    <row r="485" spans="1:7" ht="19.5" customHeight="1">
      <c r="A485" s="230"/>
      <c r="B485" s="230"/>
      <c r="C485" s="230"/>
      <c r="F485" s="230"/>
      <c r="G485" s="230"/>
    </row>
    <row r="486" spans="1:7" ht="19.5" customHeight="1">
      <c r="A486" s="230"/>
      <c r="B486" s="230"/>
      <c r="C486" s="230"/>
      <c r="F486" s="230"/>
      <c r="G486" s="230"/>
    </row>
    <row r="487" spans="1:7" ht="19.5" customHeight="1">
      <c r="A487" s="230"/>
      <c r="B487" s="230"/>
      <c r="C487" s="230"/>
      <c r="F487" s="230"/>
      <c r="G487" s="230"/>
    </row>
    <row r="488" spans="1:7" ht="19.5" customHeight="1">
      <c r="A488" s="230"/>
      <c r="B488" s="230"/>
      <c r="C488" s="230"/>
      <c r="F488" s="230"/>
      <c r="G488" s="230"/>
    </row>
    <row r="489" spans="1:7" ht="19.5" customHeight="1">
      <c r="A489" s="230"/>
      <c r="B489" s="230"/>
      <c r="C489" s="230"/>
      <c r="F489" s="230"/>
      <c r="G489" s="230"/>
    </row>
    <row r="490" spans="1:7" ht="19.5" customHeight="1">
      <c r="A490" s="230"/>
      <c r="B490" s="230"/>
      <c r="C490" s="230"/>
      <c r="F490" s="230"/>
      <c r="G490" s="230"/>
    </row>
    <row r="491" spans="1:7" ht="19.5" customHeight="1">
      <c r="A491" s="230"/>
      <c r="B491" s="230"/>
      <c r="C491" s="230"/>
      <c r="F491" s="230"/>
      <c r="G491" s="230"/>
    </row>
    <row r="492" spans="1:7" ht="19.5" customHeight="1">
      <c r="A492" s="230"/>
      <c r="B492" s="230"/>
      <c r="C492" s="230"/>
      <c r="F492" s="230"/>
      <c r="G492" s="230"/>
    </row>
    <row r="493" spans="1:7" ht="19.5" customHeight="1">
      <c r="A493" s="230"/>
      <c r="B493" s="230"/>
      <c r="C493" s="230"/>
      <c r="F493" s="230"/>
      <c r="G493" s="230"/>
    </row>
    <row r="494" spans="1:7" ht="19.5" customHeight="1">
      <c r="A494" s="230"/>
      <c r="B494" s="230"/>
      <c r="C494" s="230"/>
      <c r="F494" s="230"/>
      <c r="G494" s="230"/>
    </row>
    <row r="495" spans="1:7" ht="19.5" customHeight="1">
      <c r="A495" s="230"/>
      <c r="B495" s="230"/>
      <c r="C495" s="230"/>
      <c r="F495" s="230"/>
      <c r="G495" s="230"/>
    </row>
    <row r="496" spans="1:7" ht="19.5" customHeight="1">
      <c r="A496" s="230"/>
      <c r="B496" s="230"/>
      <c r="C496" s="230"/>
      <c r="F496" s="230"/>
      <c r="G496" s="230"/>
    </row>
    <row r="497" spans="1:7" ht="19.5" customHeight="1">
      <c r="A497" s="230"/>
      <c r="B497" s="230"/>
      <c r="C497" s="230"/>
      <c r="F497" s="230"/>
      <c r="G497" s="230"/>
    </row>
    <row r="498" spans="1:7" ht="19.5" customHeight="1">
      <c r="A498" s="230"/>
      <c r="B498" s="230"/>
      <c r="C498" s="230"/>
      <c r="F498" s="230"/>
      <c r="G498" s="230"/>
    </row>
    <row r="499" spans="1:7" ht="19.5" customHeight="1">
      <c r="A499" s="230"/>
      <c r="B499" s="230"/>
      <c r="C499" s="230"/>
      <c r="F499" s="230"/>
      <c r="G499" s="230"/>
    </row>
    <row r="500" spans="1:7" ht="19.5" customHeight="1">
      <c r="A500" s="230"/>
      <c r="B500" s="230"/>
      <c r="C500" s="230"/>
      <c r="F500" s="230"/>
      <c r="G500" s="230"/>
    </row>
    <row r="501" spans="1:7" ht="19.5" customHeight="1">
      <c r="A501" s="230"/>
      <c r="B501" s="230"/>
      <c r="C501" s="230"/>
      <c r="F501" s="230"/>
      <c r="G501" s="230"/>
    </row>
    <row r="502" spans="1:7" ht="19.5" customHeight="1">
      <c r="A502" s="230"/>
      <c r="B502" s="230"/>
      <c r="C502" s="230"/>
      <c r="F502" s="230"/>
      <c r="G502" s="230"/>
    </row>
    <row r="503" spans="1:7" ht="19.5" customHeight="1">
      <c r="A503" s="230"/>
      <c r="B503" s="230"/>
      <c r="C503" s="230"/>
      <c r="F503" s="230"/>
      <c r="G503" s="230"/>
    </row>
    <row r="504" spans="1:7" ht="19.5" customHeight="1">
      <c r="A504" s="230"/>
      <c r="B504" s="230"/>
      <c r="C504" s="230"/>
      <c r="F504" s="230"/>
      <c r="G504" s="230"/>
    </row>
    <row r="505" spans="1:7" ht="19.5" customHeight="1">
      <c r="A505" s="230"/>
      <c r="B505" s="230"/>
      <c r="C505" s="230"/>
      <c r="F505" s="230"/>
      <c r="G505" s="230"/>
    </row>
    <row r="506" spans="1:7" ht="19.5" customHeight="1">
      <c r="A506" s="230"/>
      <c r="B506" s="230"/>
      <c r="C506" s="230"/>
      <c r="F506" s="230"/>
      <c r="G506" s="230"/>
    </row>
    <row r="507" spans="1:7" ht="19.5" customHeight="1">
      <c r="A507" s="230"/>
      <c r="B507" s="230"/>
      <c r="C507" s="230"/>
      <c r="F507" s="230"/>
      <c r="G507" s="230"/>
    </row>
    <row r="508" spans="1:7" ht="19.5" customHeight="1">
      <c r="A508" s="230"/>
      <c r="B508" s="230"/>
      <c r="C508" s="230"/>
      <c r="F508" s="230"/>
      <c r="G508" s="230"/>
    </row>
    <row r="509" spans="1:7" ht="19.5" customHeight="1">
      <c r="A509" s="230"/>
      <c r="B509" s="230"/>
      <c r="C509" s="230"/>
      <c r="F509" s="230"/>
      <c r="G509" s="230"/>
    </row>
    <row r="510" spans="1:7" ht="19.5" customHeight="1">
      <c r="A510" s="230"/>
      <c r="B510" s="230"/>
      <c r="C510" s="230"/>
      <c r="F510" s="230"/>
      <c r="G510" s="230"/>
    </row>
    <row r="511" spans="1:7" ht="19.5" customHeight="1">
      <c r="A511" s="230"/>
      <c r="B511" s="230"/>
      <c r="C511" s="230"/>
      <c r="F511" s="230"/>
      <c r="G511" s="230"/>
    </row>
    <row r="512" spans="1:7" ht="19.5" customHeight="1">
      <c r="A512" s="230"/>
      <c r="B512" s="230"/>
      <c r="C512" s="230"/>
      <c r="F512" s="230"/>
      <c r="G512" s="230"/>
    </row>
    <row r="513" spans="1:7" ht="19.5" customHeight="1">
      <c r="A513" s="230"/>
      <c r="B513" s="230"/>
      <c r="C513" s="230"/>
      <c r="F513" s="230"/>
      <c r="G513" s="230"/>
    </row>
    <row r="514" spans="1:7" ht="19.5" customHeight="1">
      <c r="A514" s="230"/>
      <c r="B514" s="230"/>
      <c r="C514" s="230"/>
      <c r="F514" s="230"/>
      <c r="G514" s="230"/>
    </row>
    <row r="515" spans="1:7" ht="19.5" customHeight="1">
      <c r="A515" s="230"/>
      <c r="B515" s="230"/>
      <c r="C515" s="230"/>
      <c r="F515" s="230"/>
      <c r="G515" s="230"/>
    </row>
    <row r="516" spans="1:7" ht="19.5" customHeight="1">
      <c r="A516" s="230"/>
      <c r="B516" s="230"/>
      <c r="C516" s="230"/>
      <c r="F516" s="230"/>
      <c r="G516" s="230"/>
    </row>
    <row r="517" spans="1:7" ht="19.5" customHeight="1">
      <c r="A517" s="230"/>
      <c r="B517" s="230"/>
      <c r="C517" s="230"/>
      <c r="F517" s="230"/>
      <c r="G517" s="230"/>
    </row>
    <row r="518" spans="1:7" ht="19.5" customHeight="1">
      <c r="A518" s="230"/>
      <c r="B518" s="230"/>
      <c r="C518" s="230"/>
      <c r="F518" s="230"/>
      <c r="G518" s="230"/>
    </row>
    <row r="519" spans="1:7" ht="19.5" customHeight="1">
      <c r="A519" s="230"/>
      <c r="B519" s="230"/>
      <c r="C519" s="230"/>
      <c r="F519" s="230"/>
      <c r="G519" s="230"/>
    </row>
    <row r="520" spans="1:7" ht="19.5" customHeight="1">
      <c r="A520" s="230"/>
      <c r="B520" s="230"/>
      <c r="C520" s="230"/>
      <c r="F520" s="230"/>
      <c r="G520" s="230"/>
    </row>
    <row r="521" spans="1:7" ht="19.5" customHeight="1">
      <c r="A521" s="230"/>
      <c r="B521" s="230"/>
      <c r="C521" s="230"/>
      <c r="F521" s="230"/>
      <c r="G521" s="230"/>
    </row>
    <row r="522" spans="1:7" ht="19.5" customHeight="1">
      <c r="A522" s="230"/>
      <c r="B522" s="230"/>
      <c r="C522" s="230"/>
      <c r="F522" s="230"/>
      <c r="G522" s="230"/>
    </row>
    <row r="523" spans="1:7" ht="19.5" customHeight="1">
      <c r="A523" s="230"/>
      <c r="B523" s="230"/>
      <c r="C523" s="230"/>
      <c r="F523" s="230"/>
      <c r="G523" s="230"/>
    </row>
    <row r="524" spans="1:7" ht="19.5" customHeight="1">
      <c r="A524" s="230"/>
      <c r="B524" s="230"/>
      <c r="C524" s="230"/>
      <c r="F524" s="230"/>
      <c r="G524" s="230"/>
    </row>
    <row r="525" spans="1:7" ht="19.5" customHeight="1">
      <c r="A525" s="230"/>
      <c r="B525" s="230"/>
      <c r="C525" s="230"/>
      <c r="F525" s="230"/>
      <c r="G525" s="230"/>
    </row>
    <row r="526" spans="1:7" ht="19.5" customHeight="1">
      <c r="A526" s="230"/>
      <c r="B526" s="230"/>
      <c r="C526" s="230"/>
      <c r="F526" s="230"/>
      <c r="G526" s="230"/>
    </row>
    <row r="527" spans="1:7" ht="19.5" customHeight="1">
      <c r="A527" s="230"/>
      <c r="B527" s="230"/>
      <c r="C527" s="230"/>
      <c r="F527" s="230"/>
      <c r="G527" s="230"/>
    </row>
    <row r="528" spans="1:7" ht="19.5" customHeight="1">
      <c r="A528" s="230"/>
      <c r="B528" s="230"/>
      <c r="C528" s="230"/>
      <c r="F528" s="230"/>
      <c r="G528" s="230"/>
    </row>
    <row r="529" spans="1:7" ht="19.5" customHeight="1">
      <c r="A529" s="230"/>
      <c r="B529" s="230"/>
      <c r="C529" s="230"/>
      <c r="F529" s="230"/>
      <c r="G529" s="230"/>
    </row>
    <row r="530" spans="1:7" ht="19.5" customHeight="1">
      <c r="A530" s="230"/>
      <c r="B530" s="230"/>
      <c r="C530" s="230"/>
      <c r="F530" s="230"/>
      <c r="G530" s="230"/>
    </row>
    <row r="531" spans="1:7" ht="19.5" customHeight="1">
      <c r="A531" s="230"/>
      <c r="B531" s="230"/>
      <c r="C531" s="230"/>
      <c r="F531" s="230"/>
      <c r="G531" s="230"/>
    </row>
    <row r="532" spans="1:7" ht="19.5" customHeight="1">
      <c r="A532" s="230"/>
      <c r="B532" s="230"/>
      <c r="C532" s="230"/>
      <c r="F532" s="230"/>
      <c r="G532" s="230"/>
    </row>
    <row r="533" spans="1:7" ht="19.5" customHeight="1">
      <c r="A533" s="230"/>
      <c r="B533" s="230"/>
      <c r="C533" s="230"/>
      <c r="F533" s="230"/>
      <c r="G533" s="230"/>
    </row>
    <row r="534" spans="1:7" ht="19.5" customHeight="1">
      <c r="A534" s="230"/>
      <c r="B534" s="230"/>
      <c r="C534" s="230"/>
      <c r="F534" s="230"/>
      <c r="G534" s="230"/>
    </row>
    <row r="535" spans="1:7" ht="19.5" customHeight="1">
      <c r="A535" s="230"/>
      <c r="B535" s="230"/>
      <c r="C535" s="230"/>
      <c r="F535" s="230"/>
      <c r="G535" s="230"/>
    </row>
    <row r="536" spans="1:7" ht="19.5" customHeight="1">
      <c r="A536" s="230"/>
      <c r="B536" s="230"/>
      <c r="C536" s="230"/>
      <c r="F536" s="230"/>
      <c r="G536" s="230"/>
    </row>
    <row r="537" spans="1:7" ht="19.5" customHeight="1">
      <c r="A537" s="230"/>
      <c r="B537" s="230"/>
      <c r="C537" s="230"/>
      <c r="F537" s="230"/>
      <c r="G537" s="230"/>
    </row>
    <row r="538" spans="1:7" ht="19.5" customHeight="1">
      <c r="A538" s="230"/>
      <c r="B538" s="230"/>
      <c r="C538" s="230"/>
      <c r="F538" s="230"/>
      <c r="G538" s="230"/>
    </row>
    <row r="539" spans="1:7" ht="19.5" customHeight="1">
      <c r="A539" s="230"/>
      <c r="B539" s="230"/>
      <c r="C539" s="230"/>
      <c r="F539" s="230"/>
      <c r="G539" s="230"/>
    </row>
    <row r="540" spans="1:7" ht="19.5" customHeight="1">
      <c r="A540" s="230"/>
      <c r="B540" s="230"/>
      <c r="C540" s="230"/>
      <c r="F540" s="230"/>
      <c r="G540" s="230"/>
    </row>
    <row r="541" spans="1:7" ht="19.5" customHeight="1">
      <c r="A541" s="230"/>
      <c r="B541" s="230"/>
      <c r="C541" s="230"/>
      <c r="F541" s="230"/>
      <c r="G541" s="230"/>
    </row>
    <row r="542" spans="1:7" ht="19.5" customHeight="1">
      <c r="A542" s="230"/>
      <c r="B542" s="230"/>
      <c r="C542" s="230"/>
      <c r="F542" s="230"/>
      <c r="G542" s="230"/>
    </row>
    <row r="543" spans="1:7" ht="19.5" customHeight="1">
      <c r="A543" s="230"/>
      <c r="B543" s="230"/>
      <c r="C543" s="230"/>
      <c r="F543" s="230"/>
      <c r="G543" s="230"/>
    </row>
    <row r="544" spans="1:7" ht="19.5" customHeight="1">
      <c r="A544" s="230"/>
      <c r="B544" s="230"/>
      <c r="C544" s="230"/>
      <c r="F544" s="230"/>
      <c r="G544" s="230"/>
    </row>
    <row r="545" spans="1:7" ht="19.5" customHeight="1">
      <c r="A545" s="230"/>
      <c r="B545" s="230"/>
      <c r="C545" s="230"/>
      <c r="F545" s="230"/>
      <c r="G545" s="230"/>
    </row>
    <row r="546" spans="1:7" ht="19.5" customHeight="1">
      <c r="A546" s="230"/>
      <c r="B546" s="230"/>
      <c r="C546" s="230"/>
      <c r="F546" s="230"/>
      <c r="G546" s="230"/>
    </row>
    <row r="547" spans="1:7" ht="19.5" customHeight="1">
      <c r="A547" s="230"/>
      <c r="B547" s="230"/>
      <c r="C547" s="230"/>
      <c r="F547" s="230"/>
      <c r="G547" s="230"/>
    </row>
    <row r="548" spans="1:7" ht="19.5" customHeight="1">
      <c r="A548" s="230"/>
      <c r="B548" s="230"/>
      <c r="C548" s="230"/>
      <c r="F548" s="230"/>
      <c r="G548" s="230"/>
    </row>
    <row r="549" spans="1:7" ht="19.5" customHeight="1">
      <c r="A549" s="230"/>
      <c r="B549" s="230"/>
      <c r="C549" s="230"/>
      <c r="F549" s="230"/>
      <c r="G549" s="230"/>
    </row>
    <row r="550" spans="1:7" ht="19.5" customHeight="1">
      <c r="A550" s="230"/>
      <c r="B550" s="230"/>
      <c r="C550" s="230"/>
      <c r="F550" s="230"/>
      <c r="G550" s="230"/>
    </row>
    <row r="551" spans="1:7" ht="19.5" customHeight="1">
      <c r="A551" s="230"/>
      <c r="B551" s="230"/>
      <c r="C551" s="230"/>
      <c r="F551" s="230"/>
      <c r="G551" s="230"/>
    </row>
    <row r="552" spans="1:7" ht="19.5" customHeight="1">
      <c r="A552" s="230"/>
      <c r="B552" s="230"/>
      <c r="C552" s="230"/>
      <c r="F552" s="230"/>
      <c r="G552" s="230"/>
    </row>
    <row r="553" spans="1:7" ht="19.5" customHeight="1">
      <c r="A553" s="230"/>
      <c r="B553" s="230"/>
      <c r="C553" s="230"/>
      <c r="F553" s="230"/>
      <c r="G553" s="230"/>
    </row>
    <row r="554" spans="1:7" ht="19.5" customHeight="1">
      <c r="A554" s="230"/>
      <c r="B554" s="230"/>
      <c r="C554" s="230"/>
      <c r="F554" s="230"/>
      <c r="G554" s="230"/>
    </row>
    <row r="555" spans="1:7" ht="19.5" customHeight="1">
      <c r="A555" s="230"/>
      <c r="B555" s="230"/>
      <c r="C555" s="230"/>
      <c r="F555" s="230"/>
      <c r="G555" s="230"/>
    </row>
    <row r="556" spans="1:7" ht="19.5" customHeight="1">
      <c r="A556" s="230"/>
      <c r="B556" s="230"/>
      <c r="C556" s="230"/>
      <c r="F556" s="230"/>
      <c r="G556" s="230"/>
    </row>
    <row r="557" spans="1:7" ht="19.5" customHeight="1">
      <c r="A557" s="230"/>
      <c r="B557" s="230"/>
      <c r="C557" s="230"/>
      <c r="F557" s="230"/>
      <c r="G557" s="230"/>
    </row>
    <row r="558" spans="1:7" ht="19.5" customHeight="1">
      <c r="A558" s="230"/>
      <c r="B558" s="230"/>
      <c r="C558" s="230"/>
      <c r="F558" s="230"/>
      <c r="G558" s="230"/>
    </row>
    <row r="559" spans="1:7" ht="19.5" customHeight="1">
      <c r="A559" s="230"/>
      <c r="B559" s="230"/>
      <c r="C559" s="230"/>
      <c r="F559" s="230"/>
      <c r="G559" s="230"/>
    </row>
    <row r="560" spans="1:7" ht="19.5" customHeight="1">
      <c r="A560" s="230"/>
      <c r="B560" s="230"/>
      <c r="C560" s="230"/>
      <c r="F560" s="230"/>
      <c r="G560" s="230"/>
    </row>
    <row r="561" spans="1:7" ht="19.5" customHeight="1">
      <c r="A561" s="230"/>
      <c r="B561" s="230"/>
      <c r="C561" s="230"/>
      <c r="F561" s="230"/>
      <c r="G561" s="230"/>
    </row>
    <row r="562" spans="1:7" ht="19.5" customHeight="1">
      <c r="A562" s="230"/>
      <c r="B562" s="230"/>
      <c r="C562" s="230"/>
      <c r="F562" s="230"/>
      <c r="G562" s="230"/>
    </row>
    <row r="563" spans="1:7" ht="19.5" customHeight="1">
      <c r="A563" s="230"/>
      <c r="B563" s="230"/>
      <c r="C563" s="230"/>
      <c r="F563" s="230"/>
      <c r="G563" s="230"/>
    </row>
    <row r="564" spans="1:7" ht="19.5" customHeight="1">
      <c r="A564" s="230"/>
      <c r="B564" s="230"/>
      <c r="C564" s="230"/>
      <c r="F564" s="230"/>
      <c r="G564" s="230"/>
    </row>
    <row r="565" spans="1:7" ht="19.5" customHeight="1">
      <c r="A565" s="230"/>
      <c r="B565" s="230"/>
      <c r="C565" s="230"/>
      <c r="F565" s="230"/>
      <c r="G565" s="230"/>
    </row>
    <row r="566" spans="1:7" ht="19.5" customHeight="1">
      <c r="A566" s="230"/>
      <c r="B566" s="230"/>
      <c r="C566" s="230"/>
      <c r="F566" s="230"/>
      <c r="G566" s="230"/>
    </row>
    <row r="567" spans="1:7" ht="19.5" customHeight="1">
      <c r="A567" s="230"/>
      <c r="B567" s="230"/>
      <c r="C567" s="230"/>
      <c r="F567" s="230"/>
      <c r="G567" s="230"/>
    </row>
    <row r="568" spans="1:7" ht="19.5" customHeight="1">
      <c r="A568" s="230"/>
      <c r="B568" s="230"/>
      <c r="C568" s="230"/>
      <c r="F568" s="230"/>
      <c r="G568" s="230"/>
    </row>
    <row r="569" spans="1:7" ht="19.5" customHeight="1">
      <c r="A569" s="230"/>
      <c r="B569" s="230"/>
      <c r="C569" s="230"/>
      <c r="F569" s="230"/>
      <c r="G569" s="230"/>
    </row>
    <row r="570" spans="1:7" ht="19.5" customHeight="1">
      <c r="A570" s="230"/>
      <c r="B570" s="230"/>
      <c r="C570" s="230"/>
      <c r="F570" s="230"/>
      <c r="G570" s="230"/>
    </row>
    <row r="571" spans="1:7" ht="19.5" customHeight="1">
      <c r="A571" s="230"/>
      <c r="B571" s="230"/>
      <c r="C571" s="230"/>
      <c r="F571" s="230"/>
      <c r="G571" s="230"/>
    </row>
    <row r="572" spans="1:7" ht="19.5" customHeight="1">
      <c r="A572" s="230"/>
      <c r="B572" s="230"/>
      <c r="C572" s="230"/>
      <c r="F572" s="230"/>
      <c r="G572" s="230"/>
    </row>
    <row r="573" spans="1:7" ht="19.5" customHeight="1">
      <c r="A573" s="230"/>
      <c r="B573" s="230"/>
      <c r="C573" s="230"/>
      <c r="F573" s="230"/>
      <c r="G573" s="230"/>
    </row>
    <row r="574" spans="1:7" ht="19.5" customHeight="1">
      <c r="A574" s="230"/>
      <c r="B574" s="230"/>
      <c r="C574" s="230"/>
      <c r="F574" s="230"/>
      <c r="G574" s="230"/>
    </row>
    <row r="575" spans="1:7" ht="19.5" customHeight="1">
      <c r="A575" s="230"/>
      <c r="B575" s="230"/>
      <c r="C575" s="230"/>
      <c r="F575" s="230"/>
      <c r="G575" s="230"/>
    </row>
    <row r="576" spans="1:7" ht="19.5" customHeight="1">
      <c r="A576" s="230"/>
      <c r="B576" s="230"/>
      <c r="C576" s="230"/>
      <c r="F576" s="230"/>
      <c r="G576" s="230"/>
    </row>
    <row r="577" spans="1:7" ht="19.5" customHeight="1">
      <c r="A577" s="230"/>
      <c r="B577" s="230"/>
      <c r="C577" s="230"/>
      <c r="F577" s="230"/>
      <c r="G577" s="230"/>
    </row>
    <row r="578" spans="1:7" ht="19.5" customHeight="1">
      <c r="A578" s="230"/>
      <c r="B578" s="230"/>
      <c r="C578" s="230"/>
      <c r="F578" s="230"/>
      <c r="G578" s="230"/>
    </row>
    <row r="579" spans="1:7" ht="19.5" customHeight="1">
      <c r="A579" s="230"/>
      <c r="B579" s="230"/>
      <c r="C579" s="230"/>
      <c r="F579" s="230"/>
      <c r="G579" s="230"/>
    </row>
    <row r="580" spans="1:7" ht="19.5" customHeight="1">
      <c r="A580" s="230"/>
      <c r="B580" s="230"/>
      <c r="C580" s="230"/>
      <c r="F580" s="230"/>
      <c r="G580" s="230"/>
    </row>
    <row r="581" spans="1:7" ht="19.5" customHeight="1">
      <c r="A581" s="230"/>
      <c r="B581" s="230"/>
      <c r="C581" s="230"/>
      <c r="F581" s="230"/>
      <c r="G581" s="230"/>
    </row>
    <row r="582" spans="1:7" ht="19.5" customHeight="1">
      <c r="A582" s="230"/>
      <c r="B582" s="230"/>
      <c r="C582" s="230"/>
      <c r="F582" s="230"/>
      <c r="G582" s="230"/>
    </row>
    <row r="583" spans="1:7" ht="19.5" customHeight="1">
      <c r="A583" s="230"/>
      <c r="B583" s="230"/>
      <c r="C583" s="230"/>
      <c r="F583" s="230"/>
      <c r="G583" s="230"/>
    </row>
    <row r="584" spans="1:7" ht="19.5" customHeight="1">
      <c r="A584" s="230"/>
      <c r="B584" s="230"/>
      <c r="C584" s="230"/>
      <c r="F584" s="230"/>
      <c r="G584" s="230"/>
    </row>
    <row r="585" spans="1:7" ht="19.5" customHeight="1">
      <c r="A585" s="230"/>
      <c r="B585" s="230"/>
      <c r="C585" s="230"/>
      <c r="F585" s="230"/>
      <c r="G585" s="230"/>
    </row>
    <row r="586" spans="1:7" ht="19.5" customHeight="1">
      <c r="A586" s="230"/>
      <c r="B586" s="230"/>
      <c r="C586" s="230"/>
      <c r="F586" s="230"/>
      <c r="G586" s="230"/>
    </row>
    <row r="587" spans="1:7" ht="19.5" customHeight="1">
      <c r="A587" s="230"/>
      <c r="B587" s="230"/>
      <c r="C587" s="230"/>
      <c r="F587" s="230"/>
      <c r="G587" s="230"/>
    </row>
    <row r="588" spans="1:7" ht="19.5" customHeight="1">
      <c r="A588" s="230"/>
      <c r="B588" s="230"/>
      <c r="C588" s="230"/>
      <c r="F588" s="230"/>
      <c r="G588" s="230"/>
    </row>
    <row r="589" spans="1:7" ht="19.5" customHeight="1">
      <c r="A589" s="230"/>
      <c r="B589" s="230"/>
      <c r="C589" s="230"/>
      <c r="F589" s="230"/>
      <c r="G589" s="230"/>
    </row>
    <row r="590" spans="1:7" ht="19.5" customHeight="1">
      <c r="A590" s="230"/>
      <c r="B590" s="230"/>
      <c r="C590" s="230"/>
      <c r="F590" s="230"/>
      <c r="G590" s="230"/>
    </row>
    <row r="591" spans="1:7" ht="19.5" customHeight="1">
      <c r="A591" s="230"/>
      <c r="B591" s="230"/>
      <c r="C591" s="230"/>
      <c r="F591" s="230"/>
      <c r="G591" s="230"/>
    </row>
    <row r="592" spans="1:7" ht="19.5" customHeight="1">
      <c r="A592" s="230"/>
      <c r="B592" s="230"/>
      <c r="C592" s="230"/>
      <c r="F592" s="230"/>
      <c r="G592" s="230"/>
    </row>
    <row r="593" spans="1:7" ht="19.5" customHeight="1">
      <c r="A593" s="230"/>
      <c r="B593" s="230"/>
      <c r="C593" s="230"/>
      <c r="F593" s="230"/>
      <c r="G593" s="230"/>
    </row>
    <row r="594" spans="1:7" ht="19.5" customHeight="1">
      <c r="A594" s="230"/>
      <c r="B594" s="230"/>
      <c r="C594" s="230"/>
      <c r="F594" s="230"/>
      <c r="G594" s="230"/>
    </row>
    <row r="595" spans="1:7" ht="19.5" customHeight="1">
      <c r="A595" s="230"/>
      <c r="B595" s="230"/>
      <c r="C595" s="230"/>
      <c r="F595" s="230"/>
      <c r="G595" s="230"/>
    </row>
    <row r="596" spans="1:7" ht="19.5" customHeight="1">
      <c r="A596" s="230"/>
      <c r="B596" s="230"/>
      <c r="C596" s="230"/>
      <c r="F596" s="230"/>
      <c r="G596" s="230"/>
    </row>
    <row r="597" spans="1:7" ht="19.5" customHeight="1">
      <c r="A597" s="230"/>
      <c r="B597" s="230"/>
      <c r="C597" s="230"/>
      <c r="F597" s="230"/>
      <c r="G597" s="230"/>
    </row>
    <row r="598" spans="1:7" ht="19.5" customHeight="1">
      <c r="A598" s="230"/>
      <c r="B598" s="230"/>
      <c r="C598" s="230"/>
      <c r="F598" s="230"/>
      <c r="G598" s="230"/>
    </row>
    <row r="599" spans="1:7" ht="19.5" customHeight="1">
      <c r="A599" s="230"/>
      <c r="B599" s="230"/>
      <c r="C599" s="230"/>
      <c r="F599" s="230"/>
      <c r="G599" s="230"/>
    </row>
    <row r="600" spans="1:7" ht="19.5" customHeight="1">
      <c r="A600" s="230"/>
      <c r="B600" s="230"/>
      <c r="C600" s="230"/>
      <c r="F600" s="230"/>
      <c r="G600" s="230"/>
    </row>
    <row r="601" spans="1:7" ht="19.5" customHeight="1">
      <c r="A601" s="230"/>
      <c r="B601" s="230"/>
      <c r="C601" s="230"/>
      <c r="F601" s="230"/>
      <c r="G601" s="230"/>
    </row>
    <row r="602" spans="1:7" ht="19.5" customHeight="1">
      <c r="A602" s="230"/>
      <c r="B602" s="230"/>
      <c r="C602" s="230"/>
      <c r="F602" s="230"/>
      <c r="G602" s="230"/>
    </row>
    <row r="603" spans="1:7" ht="19.5" customHeight="1">
      <c r="A603" s="230"/>
      <c r="B603" s="230"/>
      <c r="C603" s="230"/>
      <c r="F603" s="230"/>
      <c r="G603" s="230"/>
    </row>
    <row r="604" spans="1:7" ht="19.5" customHeight="1">
      <c r="A604" s="230"/>
      <c r="B604" s="230"/>
      <c r="C604" s="230"/>
      <c r="F604" s="230"/>
      <c r="G604" s="230"/>
    </row>
    <row r="605" spans="1:7" ht="19.5" customHeight="1">
      <c r="A605" s="230"/>
      <c r="B605" s="230"/>
      <c r="C605" s="230"/>
      <c r="F605" s="230"/>
      <c r="G605" s="230"/>
    </row>
    <row r="606" spans="1:7" ht="19.5" customHeight="1">
      <c r="A606" s="230"/>
      <c r="B606" s="230"/>
      <c r="C606" s="230"/>
      <c r="F606" s="230"/>
      <c r="G606" s="230"/>
    </row>
    <row r="607" spans="1:7" ht="19.5" customHeight="1">
      <c r="A607" s="230"/>
      <c r="B607" s="230"/>
      <c r="C607" s="230"/>
      <c r="F607" s="230"/>
      <c r="G607" s="230"/>
    </row>
    <row r="608" spans="1:7" ht="19.5" customHeight="1">
      <c r="A608" s="230"/>
      <c r="B608" s="230"/>
      <c r="C608" s="230"/>
      <c r="F608" s="230"/>
      <c r="G608" s="230"/>
    </row>
    <row r="609" spans="1:7" ht="19.5" customHeight="1">
      <c r="A609" s="230"/>
      <c r="B609" s="230"/>
      <c r="C609" s="230"/>
      <c r="F609" s="230"/>
      <c r="G609" s="230"/>
    </row>
    <row r="610" spans="1:7" ht="19.5" customHeight="1">
      <c r="A610" s="230"/>
      <c r="B610" s="230"/>
      <c r="C610" s="230"/>
      <c r="F610" s="230"/>
      <c r="G610" s="230"/>
    </row>
    <row r="611" spans="1:7" ht="19.5" customHeight="1">
      <c r="A611" s="230"/>
      <c r="B611" s="230"/>
      <c r="C611" s="230"/>
      <c r="F611" s="230"/>
      <c r="G611" s="230"/>
    </row>
    <row r="612" spans="1:7" ht="19.5" customHeight="1">
      <c r="A612" s="230"/>
      <c r="B612" s="230"/>
      <c r="C612" s="230"/>
      <c r="F612" s="230"/>
      <c r="G612" s="230"/>
    </row>
    <row r="613" spans="1:7" ht="19.5" customHeight="1">
      <c r="A613" s="230"/>
      <c r="B613" s="230"/>
      <c r="C613" s="230"/>
      <c r="F613" s="230"/>
      <c r="G613" s="230"/>
    </row>
    <row r="614" spans="1:7" ht="19.5" customHeight="1">
      <c r="A614" s="230"/>
      <c r="B614" s="230"/>
      <c r="C614" s="230"/>
      <c r="F614" s="230"/>
      <c r="G614" s="230"/>
    </row>
    <row r="615" spans="1:7" ht="19.5" customHeight="1">
      <c r="A615" s="230"/>
      <c r="B615" s="230"/>
      <c r="C615" s="230"/>
      <c r="F615" s="230"/>
      <c r="G615" s="230"/>
    </row>
    <row r="616" spans="1:7" ht="19.5" customHeight="1">
      <c r="A616" s="230"/>
      <c r="B616" s="230"/>
      <c r="C616" s="230"/>
      <c r="F616" s="230"/>
      <c r="G616" s="230"/>
    </row>
    <row r="617" spans="1:7" ht="19.5" customHeight="1">
      <c r="A617" s="230"/>
      <c r="B617" s="230"/>
      <c r="C617" s="230"/>
      <c r="F617" s="230"/>
      <c r="G617" s="230"/>
    </row>
    <row r="618" spans="1:7" ht="19.5" customHeight="1">
      <c r="A618" s="230"/>
      <c r="B618" s="230"/>
      <c r="C618" s="230"/>
      <c r="F618" s="230"/>
      <c r="G618" s="230"/>
    </row>
    <row r="619" spans="1:7" ht="19.5" customHeight="1">
      <c r="A619" s="230"/>
      <c r="B619" s="230"/>
      <c r="C619" s="230"/>
      <c r="F619" s="230"/>
      <c r="G619" s="230"/>
    </row>
    <row r="620" spans="1:7" ht="19.5" customHeight="1">
      <c r="A620" s="230"/>
      <c r="B620" s="230"/>
      <c r="C620" s="230"/>
      <c r="F620" s="230"/>
      <c r="G620" s="230"/>
    </row>
    <row r="621" spans="1:7" ht="19.5" customHeight="1">
      <c r="A621" s="230"/>
      <c r="B621" s="230"/>
      <c r="C621" s="230"/>
      <c r="F621" s="230"/>
      <c r="G621" s="230"/>
    </row>
    <row r="622" spans="1:7" ht="19.5" customHeight="1">
      <c r="A622" s="230"/>
      <c r="B622" s="230"/>
      <c r="C622" s="230"/>
      <c r="F622" s="230"/>
      <c r="G622" s="230"/>
    </row>
    <row r="623" spans="1:7" ht="19.5" customHeight="1">
      <c r="A623" s="230"/>
      <c r="B623" s="230"/>
      <c r="C623" s="230"/>
      <c r="F623" s="230"/>
      <c r="G623" s="230"/>
    </row>
    <row r="624" spans="1:7" ht="19.5" customHeight="1">
      <c r="A624" s="230"/>
      <c r="B624" s="230"/>
      <c r="C624" s="230"/>
      <c r="F624" s="230"/>
      <c r="G624" s="230"/>
    </row>
    <row r="625" spans="1:7" ht="19.5" customHeight="1">
      <c r="A625" s="230"/>
      <c r="B625" s="230"/>
      <c r="C625" s="230"/>
      <c r="F625" s="230"/>
      <c r="G625" s="230"/>
    </row>
    <row r="626" spans="1:7" ht="19.5" customHeight="1">
      <c r="A626" s="230"/>
      <c r="B626" s="230"/>
      <c r="C626" s="230"/>
      <c r="F626" s="230"/>
      <c r="G626" s="230"/>
    </row>
    <row r="627" spans="1:7" ht="19.5" customHeight="1">
      <c r="A627" s="230"/>
      <c r="B627" s="230"/>
      <c r="C627" s="230"/>
      <c r="F627" s="230"/>
      <c r="G627" s="230"/>
    </row>
    <row r="628" spans="1:7" ht="19.5" customHeight="1">
      <c r="A628" s="230"/>
      <c r="B628" s="230"/>
      <c r="C628" s="230"/>
      <c r="F628" s="230"/>
      <c r="G628" s="230"/>
    </row>
    <row r="629" spans="1:7" ht="19.5" customHeight="1">
      <c r="A629" s="230"/>
      <c r="B629" s="230"/>
      <c r="C629" s="230"/>
      <c r="F629" s="230"/>
      <c r="G629" s="230"/>
    </row>
    <row r="630" spans="1:7" ht="19.5" customHeight="1">
      <c r="A630" s="230"/>
      <c r="B630" s="230"/>
      <c r="C630" s="230"/>
      <c r="F630" s="230"/>
      <c r="G630" s="230"/>
    </row>
    <row r="631" spans="1:7" ht="19.5" customHeight="1">
      <c r="A631" s="230"/>
      <c r="B631" s="230"/>
      <c r="C631" s="230"/>
      <c r="F631" s="230"/>
      <c r="G631" s="230"/>
    </row>
    <row r="632" spans="1:7" ht="19.5" customHeight="1">
      <c r="A632" s="230"/>
      <c r="B632" s="230"/>
      <c r="C632" s="230"/>
      <c r="F632" s="230"/>
      <c r="G632" s="230"/>
    </row>
    <row r="633" spans="1:7" ht="19.5" customHeight="1">
      <c r="A633" s="230"/>
      <c r="B633" s="230"/>
      <c r="C633" s="230"/>
      <c r="F633" s="230"/>
      <c r="G633" s="230"/>
    </row>
    <row r="634" spans="1:7" ht="19.5" customHeight="1">
      <c r="A634" s="230"/>
      <c r="B634" s="230"/>
      <c r="C634" s="230"/>
      <c r="F634" s="230"/>
      <c r="G634" s="230"/>
    </row>
    <row r="635" spans="1:7" ht="19.5" customHeight="1">
      <c r="A635" s="230"/>
      <c r="B635" s="230"/>
      <c r="C635" s="230"/>
      <c r="F635" s="230"/>
      <c r="G635" s="230"/>
    </row>
    <row r="636" spans="1:7" ht="19.5" customHeight="1">
      <c r="A636" s="230"/>
      <c r="B636" s="230"/>
      <c r="C636" s="230"/>
      <c r="F636" s="230"/>
      <c r="G636" s="230"/>
    </row>
    <row r="637" spans="1:7" ht="19.5" customHeight="1">
      <c r="A637" s="230"/>
      <c r="B637" s="230"/>
      <c r="C637" s="230"/>
      <c r="F637" s="230"/>
      <c r="G637" s="230"/>
    </row>
    <row r="638" spans="1:7" ht="19.5" customHeight="1">
      <c r="A638" s="230"/>
      <c r="B638" s="230"/>
      <c r="C638" s="230"/>
      <c r="F638" s="230"/>
      <c r="G638" s="230"/>
    </row>
    <row r="639" spans="1:7" ht="19.5" customHeight="1">
      <c r="A639" s="230"/>
      <c r="B639" s="230"/>
      <c r="C639" s="230"/>
      <c r="F639" s="230"/>
      <c r="G639" s="230"/>
    </row>
    <row r="640" spans="1:7" ht="19.5" customHeight="1">
      <c r="A640" s="230"/>
      <c r="B640" s="230"/>
      <c r="C640" s="230"/>
      <c r="F640" s="230"/>
      <c r="G640" s="230"/>
    </row>
    <row r="641" spans="1:7" ht="19.5" customHeight="1">
      <c r="A641" s="230"/>
      <c r="B641" s="230"/>
      <c r="C641" s="230"/>
      <c r="F641" s="230"/>
      <c r="G641" s="230"/>
    </row>
    <row r="642" spans="1:7" ht="19.5" customHeight="1">
      <c r="A642" s="230"/>
      <c r="B642" s="230"/>
      <c r="C642" s="230"/>
      <c r="F642" s="230"/>
      <c r="G642" s="230"/>
    </row>
    <row r="643" spans="1:7" ht="19.5" customHeight="1">
      <c r="A643" s="230"/>
      <c r="B643" s="230"/>
      <c r="C643" s="230"/>
      <c r="F643" s="230"/>
      <c r="G643" s="230"/>
    </row>
    <row r="644" spans="1:7" ht="19.5" customHeight="1">
      <c r="A644" s="230"/>
      <c r="B644" s="230"/>
      <c r="C644" s="230"/>
      <c r="F644" s="230"/>
      <c r="G644" s="230"/>
    </row>
    <row r="645" spans="1:7" ht="19.5" customHeight="1">
      <c r="A645" s="230"/>
      <c r="B645" s="230"/>
      <c r="C645" s="230"/>
      <c r="F645" s="230"/>
      <c r="G645" s="230"/>
    </row>
    <row r="646" spans="1:7" ht="19.5" customHeight="1">
      <c r="A646" s="230"/>
      <c r="B646" s="230"/>
      <c r="C646" s="230"/>
      <c r="F646" s="230"/>
      <c r="G646" s="230"/>
    </row>
    <row r="647" spans="1:7" ht="19.5" customHeight="1">
      <c r="A647" s="230"/>
      <c r="B647" s="230"/>
      <c r="C647" s="230"/>
      <c r="F647" s="230"/>
      <c r="G647" s="230"/>
    </row>
    <row r="648" spans="1:7" ht="19.5" customHeight="1">
      <c r="A648" s="230"/>
      <c r="B648" s="230"/>
      <c r="C648" s="230"/>
      <c r="F648" s="230"/>
      <c r="G648" s="230"/>
    </row>
    <row r="649" spans="1:7" ht="19.5" customHeight="1">
      <c r="A649" s="230"/>
      <c r="B649" s="230"/>
      <c r="C649" s="230"/>
      <c r="F649" s="230"/>
      <c r="G649" s="230"/>
    </row>
    <row r="650" spans="1:7" ht="19.5" customHeight="1">
      <c r="A650" s="230"/>
      <c r="B650" s="230"/>
      <c r="C650" s="230"/>
      <c r="F650" s="230"/>
      <c r="G650" s="230"/>
    </row>
    <row r="651" spans="1:7" ht="19.5" customHeight="1">
      <c r="A651" s="230"/>
      <c r="B651" s="230"/>
      <c r="C651" s="230"/>
      <c r="F651" s="230"/>
      <c r="G651" s="230"/>
    </row>
    <row r="652" spans="1:7" ht="19.5" customHeight="1">
      <c r="A652" s="230"/>
      <c r="B652" s="230"/>
      <c r="C652" s="230"/>
      <c r="F652" s="230"/>
      <c r="G652" s="230"/>
    </row>
    <row r="653" spans="1:7" ht="19.5" customHeight="1">
      <c r="A653" s="230"/>
      <c r="B653" s="230"/>
      <c r="C653" s="230"/>
      <c r="F653" s="230"/>
      <c r="G653" s="230"/>
    </row>
    <row r="654" spans="1:7" ht="19.5" customHeight="1">
      <c r="A654" s="230"/>
      <c r="B654" s="230"/>
      <c r="C654" s="230"/>
      <c r="F654" s="230"/>
      <c r="G654" s="230"/>
    </row>
    <row r="655" spans="1:7" ht="19.5" customHeight="1">
      <c r="A655" s="230"/>
      <c r="B655" s="230"/>
      <c r="C655" s="230"/>
      <c r="F655" s="230"/>
      <c r="G655" s="230"/>
    </row>
    <row r="656" spans="1:7" ht="19.5" customHeight="1">
      <c r="A656" s="230"/>
      <c r="B656" s="230"/>
      <c r="C656" s="230"/>
      <c r="F656" s="230"/>
      <c r="G656" s="230"/>
    </row>
    <row r="657" spans="1:7" ht="19.5" customHeight="1">
      <c r="A657" s="230"/>
      <c r="B657" s="230"/>
      <c r="C657" s="230"/>
      <c r="F657" s="230"/>
      <c r="G657" s="230"/>
    </row>
    <row r="658" spans="1:7" ht="19.5" customHeight="1">
      <c r="A658" s="230"/>
      <c r="B658" s="230"/>
      <c r="C658" s="230"/>
      <c r="F658" s="230"/>
      <c r="G658" s="230"/>
    </row>
    <row r="659" spans="1:7" ht="19.5" customHeight="1">
      <c r="A659" s="230"/>
      <c r="B659" s="230"/>
      <c r="C659" s="230"/>
      <c r="F659" s="230"/>
      <c r="G659" s="230"/>
    </row>
    <row r="660" spans="1:7" ht="19.5" customHeight="1">
      <c r="A660" s="230"/>
      <c r="B660" s="230"/>
      <c r="C660" s="230"/>
      <c r="F660" s="230"/>
      <c r="G660" s="230"/>
    </row>
    <row r="661" spans="1:7" ht="19.5" customHeight="1">
      <c r="A661" s="230"/>
      <c r="B661" s="230"/>
      <c r="C661" s="230"/>
      <c r="F661" s="230"/>
      <c r="G661" s="230"/>
    </row>
    <row r="662" spans="1:7" ht="19.5" customHeight="1">
      <c r="A662" s="230"/>
      <c r="B662" s="230"/>
      <c r="C662" s="230"/>
      <c r="F662" s="230"/>
      <c r="G662" s="230"/>
    </row>
    <row r="663" spans="1:7" ht="19.5" customHeight="1">
      <c r="A663" s="230"/>
      <c r="B663" s="230"/>
      <c r="C663" s="230"/>
      <c r="F663" s="230"/>
      <c r="G663" s="230"/>
    </row>
    <row r="664" spans="1:7" ht="19.5" customHeight="1">
      <c r="A664" s="230"/>
      <c r="B664" s="230"/>
      <c r="C664" s="230"/>
      <c r="F664" s="230"/>
      <c r="G664" s="230"/>
    </row>
    <row r="665" spans="1:7" ht="19.5" customHeight="1">
      <c r="A665" s="230"/>
      <c r="B665" s="230"/>
      <c r="C665" s="230"/>
      <c r="F665" s="230"/>
      <c r="G665" s="230"/>
    </row>
    <row r="666" spans="1:7" ht="19.5" customHeight="1">
      <c r="A666" s="230"/>
      <c r="B666" s="230"/>
      <c r="C666" s="230"/>
      <c r="F666" s="230"/>
      <c r="G666" s="230"/>
    </row>
    <row r="667" spans="1:7" ht="19.5" customHeight="1">
      <c r="A667" s="230"/>
      <c r="B667" s="230"/>
      <c r="C667" s="230"/>
      <c r="F667" s="230"/>
      <c r="G667" s="230"/>
    </row>
    <row r="668" spans="1:7" ht="19.5" customHeight="1">
      <c r="A668" s="230"/>
      <c r="B668" s="230"/>
      <c r="C668" s="230"/>
      <c r="F668" s="230"/>
      <c r="G668" s="230"/>
    </row>
    <row r="669" spans="1:7" ht="19.5" customHeight="1">
      <c r="A669" s="230"/>
      <c r="B669" s="230"/>
      <c r="C669" s="230"/>
      <c r="F669" s="230"/>
      <c r="G669" s="230"/>
    </row>
    <row r="670" spans="1:7" ht="19.5" customHeight="1">
      <c r="A670" s="230"/>
      <c r="B670" s="230"/>
      <c r="C670" s="230"/>
      <c r="F670" s="230"/>
      <c r="G670" s="230"/>
    </row>
    <row r="671" spans="1:7" ht="19.5" customHeight="1">
      <c r="A671" s="230"/>
      <c r="B671" s="230"/>
      <c r="C671" s="230"/>
      <c r="F671" s="230"/>
      <c r="G671" s="230"/>
    </row>
    <row r="672" spans="1:7" ht="19.5" customHeight="1">
      <c r="A672" s="230"/>
      <c r="B672" s="230"/>
      <c r="C672" s="230"/>
      <c r="F672" s="230"/>
      <c r="G672" s="230"/>
    </row>
    <row r="673" spans="1:7" ht="19.5" customHeight="1">
      <c r="A673" s="230"/>
      <c r="B673" s="230"/>
      <c r="C673" s="230"/>
      <c r="F673" s="230"/>
      <c r="G673" s="230"/>
    </row>
    <row r="674" spans="1:7" ht="19.5" customHeight="1">
      <c r="A674" s="230"/>
      <c r="B674" s="230"/>
      <c r="C674" s="230"/>
      <c r="F674" s="230"/>
      <c r="G674" s="230"/>
    </row>
    <row r="675" spans="1:7" ht="19.5" customHeight="1">
      <c r="A675" s="230"/>
      <c r="B675" s="230"/>
      <c r="C675" s="230"/>
      <c r="F675" s="230"/>
      <c r="G675" s="230"/>
    </row>
    <row r="676" spans="1:7" ht="19.5" customHeight="1">
      <c r="A676" s="230"/>
      <c r="B676" s="230"/>
      <c r="C676" s="230"/>
      <c r="F676" s="230"/>
      <c r="G676" s="230"/>
    </row>
    <row r="677" spans="1:7" ht="19.5" customHeight="1">
      <c r="A677" s="230"/>
      <c r="B677" s="230"/>
      <c r="C677" s="230"/>
      <c r="F677" s="230"/>
      <c r="G677" s="230"/>
    </row>
    <row r="678" spans="1:7" ht="19.5" customHeight="1">
      <c r="A678" s="230"/>
      <c r="B678" s="230"/>
      <c r="C678" s="230"/>
      <c r="F678" s="230"/>
      <c r="G678" s="230"/>
    </row>
    <row r="679" spans="1:7" ht="19.5" customHeight="1">
      <c r="A679" s="230"/>
      <c r="B679" s="230"/>
      <c r="C679" s="230"/>
      <c r="F679" s="230"/>
      <c r="G679" s="230"/>
    </row>
    <row r="680" spans="1:7" ht="19.5" customHeight="1">
      <c r="A680" s="230"/>
      <c r="B680" s="230"/>
      <c r="C680" s="230"/>
      <c r="F680" s="230"/>
      <c r="G680" s="230"/>
    </row>
    <row r="681" spans="1:7" ht="19.5" customHeight="1">
      <c r="A681" s="230"/>
      <c r="B681" s="230"/>
      <c r="C681" s="230"/>
      <c r="F681" s="230"/>
      <c r="G681" s="230"/>
    </row>
    <row r="682" spans="1:7" ht="19.5" customHeight="1">
      <c r="A682" s="230"/>
      <c r="B682" s="230"/>
      <c r="C682" s="230"/>
      <c r="F682" s="230"/>
      <c r="G682" s="230"/>
    </row>
    <row r="683" spans="1:7" ht="19.5" customHeight="1">
      <c r="A683" s="230"/>
      <c r="B683" s="230"/>
      <c r="C683" s="230"/>
      <c r="F683" s="230"/>
      <c r="G683" s="230"/>
    </row>
    <row r="684" spans="1:7" ht="19.5" customHeight="1">
      <c r="A684" s="230"/>
      <c r="B684" s="230"/>
      <c r="C684" s="230"/>
      <c r="F684" s="230"/>
      <c r="G684" s="230"/>
    </row>
    <row r="685" spans="1:7" ht="19.5" customHeight="1">
      <c r="A685" s="230"/>
      <c r="B685" s="230"/>
      <c r="C685" s="230"/>
      <c r="F685" s="230"/>
      <c r="G685" s="230"/>
    </row>
    <row r="686" spans="1:7" ht="19.5" customHeight="1">
      <c r="A686" s="230"/>
      <c r="B686" s="230"/>
      <c r="C686" s="230"/>
      <c r="F686" s="230"/>
      <c r="G686" s="230"/>
    </row>
    <row r="687" spans="1:7" ht="19.5" customHeight="1">
      <c r="A687" s="230"/>
      <c r="B687" s="230"/>
      <c r="C687" s="230"/>
      <c r="F687" s="230"/>
      <c r="G687" s="230"/>
    </row>
    <row r="688" spans="1:7" ht="19.5" customHeight="1">
      <c r="A688" s="230"/>
      <c r="B688" s="230"/>
      <c r="C688" s="230"/>
      <c r="F688" s="230"/>
      <c r="G688" s="230"/>
    </row>
    <row r="689" spans="1:7" ht="19.5" customHeight="1">
      <c r="A689" s="230"/>
      <c r="B689" s="230"/>
      <c r="C689" s="230"/>
      <c r="F689" s="230"/>
      <c r="G689" s="230"/>
    </row>
    <row r="690" spans="1:7" ht="19.5" customHeight="1">
      <c r="A690" s="230"/>
      <c r="B690" s="230"/>
      <c r="C690" s="230"/>
      <c r="F690" s="230"/>
      <c r="G690" s="230"/>
    </row>
    <row r="691" spans="1:7" ht="19.5" customHeight="1">
      <c r="A691" s="230"/>
      <c r="B691" s="230"/>
      <c r="C691" s="230"/>
      <c r="F691" s="230"/>
      <c r="G691" s="230"/>
    </row>
    <row r="692" spans="1:7" ht="19.5" customHeight="1">
      <c r="A692" s="230"/>
      <c r="B692" s="230"/>
      <c r="C692" s="230"/>
      <c r="F692" s="230"/>
      <c r="G692" s="230"/>
    </row>
    <row r="693" spans="1:7" ht="19.5" customHeight="1">
      <c r="A693" s="230"/>
      <c r="B693" s="230"/>
      <c r="C693" s="230"/>
      <c r="F693" s="230"/>
      <c r="G693" s="230"/>
    </row>
    <row r="694" spans="1:7" ht="19.5" customHeight="1">
      <c r="A694" s="230"/>
      <c r="B694" s="230"/>
      <c r="C694" s="230"/>
      <c r="F694" s="230"/>
      <c r="G694" s="230"/>
    </row>
    <row r="695" spans="1:7" ht="19.5" customHeight="1">
      <c r="A695" s="230"/>
      <c r="B695" s="230"/>
      <c r="C695" s="230"/>
      <c r="F695" s="230"/>
      <c r="G695" s="230"/>
    </row>
    <row r="696" spans="1:7" ht="19.5" customHeight="1">
      <c r="A696" s="230"/>
      <c r="B696" s="230"/>
      <c r="C696" s="230"/>
      <c r="F696" s="230"/>
      <c r="G696" s="230"/>
    </row>
    <row r="697" spans="1:7" ht="19.5" customHeight="1">
      <c r="A697" s="230"/>
      <c r="B697" s="230"/>
      <c r="C697" s="230"/>
      <c r="F697" s="230"/>
      <c r="G697" s="230"/>
    </row>
    <row r="698" spans="1:7" ht="19.5" customHeight="1">
      <c r="A698" s="230"/>
      <c r="B698" s="230"/>
      <c r="C698" s="230"/>
      <c r="F698" s="230"/>
      <c r="G698" s="230"/>
    </row>
    <row r="699" spans="1:7" ht="19.5" customHeight="1">
      <c r="A699" s="230"/>
      <c r="B699" s="230"/>
      <c r="C699" s="230"/>
      <c r="F699" s="230"/>
      <c r="G699" s="230"/>
    </row>
    <row r="700" spans="1:7" ht="19.5" customHeight="1">
      <c r="A700" s="230"/>
      <c r="B700" s="230"/>
      <c r="C700" s="230"/>
      <c r="F700" s="230"/>
      <c r="G700" s="230"/>
    </row>
    <row r="701" spans="1:7" ht="19.5" customHeight="1">
      <c r="A701" s="230"/>
      <c r="B701" s="230"/>
      <c r="C701" s="230"/>
      <c r="F701" s="230"/>
      <c r="G701" s="230"/>
    </row>
    <row r="702" spans="1:7" ht="19.5" customHeight="1">
      <c r="A702" s="230"/>
      <c r="B702" s="230"/>
      <c r="C702" s="230"/>
      <c r="F702" s="230"/>
      <c r="G702" s="230"/>
    </row>
    <row r="703" spans="1:7" ht="19.5" customHeight="1">
      <c r="A703" s="230"/>
      <c r="B703" s="230"/>
      <c r="C703" s="230"/>
      <c r="F703" s="230"/>
      <c r="G703" s="230"/>
    </row>
    <row r="704" spans="1:7" ht="19.5" customHeight="1">
      <c r="A704" s="230"/>
      <c r="B704" s="230"/>
      <c r="C704" s="230"/>
      <c r="F704" s="230"/>
      <c r="G704" s="230"/>
    </row>
    <row r="705" spans="1:7" ht="19.5" customHeight="1">
      <c r="A705" s="230"/>
      <c r="B705" s="230"/>
      <c r="C705" s="230"/>
      <c r="F705" s="230"/>
      <c r="G705" s="230"/>
    </row>
    <row r="706" spans="1:7" ht="19.5" customHeight="1">
      <c r="A706" s="230"/>
      <c r="B706" s="230"/>
      <c r="C706" s="230"/>
      <c r="F706" s="230"/>
      <c r="G706" s="230"/>
    </row>
    <row r="707" spans="1:7" ht="19.5" customHeight="1">
      <c r="A707" s="230"/>
      <c r="B707" s="230"/>
      <c r="C707" s="230"/>
      <c r="F707" s="230"/>
      <c r="G707" s="230"/>
    </row>
    <row r="708" spans="1:7" ht="19.5" customHeight="1">
      <c r="A708" s="230"/>
      <c r="B708" s="230"/>
      <c r="C708" s="230"/>
      <c r="F708" s="230"/>
      <c r="G708" s="230"/>
    </row>
    <row r="709" spans="1:7" ht="19.5" customHeight="1">
      <c r="A709" s="230"/>
      <c r="B709" s="230"/>
      <c r="C709" s="230"/>
      <c r="F709" s="230"/>
      <c r="G709" s="230"/>
    </row>
    <row r="710" spans="1:7" ht="19.5" customHeight="1">
      <c r="A710" s="230"/>
      <c r="B710" s="230"/>
      <c r="C710" s="230"/>
      <c r="F710" s="230"/>
      <c r="G710" s="230"/>
    </row>
    <row r="711" spans="1:7" ht="19.5" customHeight="1">
      <c r="A711" s="230"/>
      <c r="B711" s="230"/>
      <c r="C711" s="230"/>
      <c r="F711" s="230"/>
      <c r="G711" s="230"/>
    </row>
    <row r="712" spans="1:7" ht="19.5" customHeight="1">
      <c r="A712" s="230"/>
      <c r="B712" s="230"/>
      <c r="C712" s="230"/>
      <c r="F712" s="230"/>
      <c r="G712" s="230"/>
    </row>
    <row r="713" spans="1:7" ht="19.5" customHeight="1">
      <c r="A713" s="230"/>
      <c r="B713" s="230"/>
      <c r="C713" s="230"/>
      <c r="F713" s="230"/>
      <c r="G713" s="230"/>
    </row>
    <row r="714" spans="1:7" ht="19.5" customHeight="1">
      <c r="A714" s="230"/>
      <c r="B714" s="230"/>
      <c r="C714" s="230"/>
      <c r="F714" s="230"/>
      <c r="G714" s="230"/>
    </row>
    <row r="715" spans="1:7" ht="19.5" customHeight="1">
      <c r="A715" s="230"/>
      <c r="B715" s="230"/>
      <c r="C715" s="230"/>
      <c r="F715" s="230"/>
      <c r="G715" s="230"/>
    </row>
    <row r="716" spans="1:7" ht="19.5" customHeight="1">
      <c r="A716" s="230"/>
      <c r="B716" s="230"/>
      <c r="C716" s="230"/>
      <c r="F716" s="230"/>
      <c r="G716" s="230"/>
    </row>
    <row r="717" spans="1:7" ht="19.5" customHeight="1">
      <c r="A717" s="230"/>
      <c r="B717" s="230"/>
      <c r="C717" s="230"/>
      <c r="F717" s="230"/>
      <c r="G717" s="230"/>
    </row>
    <row r="718" spans="1:7" ht="19.5" customHeight="1">
      <c r="A718" s="230"/>
      <c r="B718" s="230"/>
      <c r="C718" s="230"/>
      <c r="F718" s="230"/>
      <c r="G718" s="230"/>
    </row>
    <row r="719" spans="1:7" ht="19.5" customHeight="1">
      <c r="A719" s="230"/>
      <c r="B719" s="230"/>
      <c r="C719" s="230"/>
      <c r="F719" s="230"/>
      <c r="G719" s="230"/>
    </row>
    <row r="720" spans="1:7" ht="19.5" customHeight="1">
      <c r="A720" s="230"/>
      <c r="B720" s="230"/>
      <c r="C720" s="230"/>
      <c r="F720" s="230"/>
      <c r="G720" s="230"/>
    </row>
    <row r="721" spans="1:7" ht="19.5" customHeight="1">
      <c r="A721" s="230"/>
      <c r="B721" s="230"/>
      <c r="C721" s="230"/>
      <c r="F721" s="230"/>
      <c r="G721" s="230"/>
    </row>
    <row r="722" spans="1:7" ht="19.5" customHeight="1">
      <c r="A722" s="230"/>
      <c r="B722" s="230"/>
      <c r="C722" s="230"/>
      <c r="F722" s="230"/>
      <c r="G722" s="230"/>
    </row>
    <row r="723" spans="1:7" ht="19.5" customHeight="1">
      <c r="A723" s="230"/>
      <c r="B723" s="230"/>
      <c r="C723" s="230"/>
      <c r="F723" s="230"/>
      <c r="G723" s="230"/>
    </row>
    <row r="724" spans="1:7" ht="19.5" customHeight="1">
      <c r="A724" s="230"/>
      <c r="B724" s="230"/>
      <c r="C724" s="230"/>
      <c r="F724" s="230"/>
      <c r="G724" s="230"/>
    </row>
    <row r="725" spans="1:7" ht="19.5" customHeight="1">
      <c r="A725" s="230"/>
      <c r="B725" s="230"/>
      <c r="C725" s="230"/>
      <c r="F725" s="230"/>
      <c r="G725" s="230"/>
    </row>
    <row r="726" spans="1:7" ht="19.5" customHeight="1">
      <c r="A726" s="230"/>
      <c r="B726" s="230"/>
      <c r="C726" s="230"/>
      <c r="F726" s="230"/>
      <c r="G726" s="230"/>
    </row>
    <row r="727" spans="1:7" ht="19.5" customHeight="1">
      <c r="A727" s="230"/>
      <c r="B727" s="230"/>
      <c r="C727" s="230"/>
      <c r="F727" s="230"/>
      <c r="G727" s="230"/>
    </row>
    <row r="728" spans="1:7" ht="19.5" customHeight="1">
      <c r="A728" s="230"/>
      <c r="B728" s="230"/>
      <c r="C728" s="230"/>
      <c r="F728" s="230"/>
      <c r="G728" s="230"/>
    </row>
    <row r="729" spans="1:7" ht="19.5" customHeight="1">
      <c r="A729" s="230"/>
      <c r="B729" s="230"/>
      <c r="C729" s="230"/>
      <c r="F729" s="230"/>
      <c r="G729" s="230"/>
    </row>
    <row r="730" spans="1:7" ht="19.5" customHeight="1">
      <c r="A730" s="230"/>
      <c r="B730" s="230"/>
      <c r="C730" s="230"/>
      <c r="F730" s="230"/>
      <c r="G730" s="230"/>
    </row>
    <row r="731" spans="1:7" ht="19.5" customHeight="1">
      <c r="A731" s="230"/>
      <c r="B731" s="230"/>
      <c r="C731" s="230"/>
      <c r="F731" s="230"/>
      <c r="G731" s="230"/>
    </row>
    <row r="732" spans="1:7" ht="19.5" customHeight="1">
      <c r="A732" s="230"/>
      <c r="B732" s="230"/>
      <c r="C732" s="230"/>
      <c r="F732" s="230"/>
      <c r="G732" s="230"/>
    </row>
    <row r="733" spans="1:7" ht="19.5" customHeight="1">
      <c r="A733" s="230"/>
      <c r="B733" s="230"/>
      <c r="C733" s="230"/>
      <c r="F733" s="230"/>
      <c r="G733" s="230"/>
    </row>
    <row r="734" spans="1:7" ht="19.5" customHeight="1">
      <c r="A734" s="230"/>
      <c r="B734" s="230"/>
      <c r="C734" s="230"/>
      <c r="F734" s="230"/>
      <c r="G734" s="230"/>
    </row>
    <row r="735" spans="1:7" ht="19.5" customHeight="1">
      <c r="A735" s="230"/>
      <c r="B735" s="230"/>
      <c r="C735" s="230"/>
      <c r="F735" s="230"/>
      <c r="G735" s="230"/>
    </row>
    <row r="736" spans="1:7" ht="19.5" customHeight="1">
      <c r="A736" s="230"/>
      <c r="B736" s="230"/>
      <c r="C736" s="230"/>
      <c r="F736" s="230"/>
      <c r="G736" s="230"/>
    </row>
    <row r="737" spans="1:7" ht="19.5" customHeight="1">
      <c r="A737" s="230"/>
      <c r="B737" s="230"/>
      <c r="C737" s="230"/>
      <c r="F737" s="230"/>
      <c r="G737" s="230"/>
    </row>
    <row r="738" spans="1:7" ht="19.5" customHeight="1">
      <c r="A738" s="230"/>
      <c r="B738" s="230"/>
      <c r="C738" s="230"/>
      <c r="F738" s="230"/>
      <c r="G738" s="230"/>
    </row>
    <row r="739" spans="1:7" ht="19.5" customHeight="1">
      <c r="A739" s="230"/>
      <c r="B739" s="230"/>
      <c r="C739" s="230"/>
      <c r="F739" s="230"/>
      <c r="G739" s="230"/>
    </row>
    <row r="740" spans="1:7" ht="19.5" customHeight="1">
      <c r="A740" s="230"/>
      <c r="B740" s="230"/>
      <c r="C740" s="230"/>
      <c r="F740" s="230"/>
      <c r="G740" s="230"/>
    </row>
    <row r="741" spans="1:7" ht="19.5" customHeight="1">
      <c r="A741" s="230"/>
      <c r="B741" s="230"/>
      <c r="C741" s="230"/>
      <c r="F741" s="230"/>
      <c r="G741" s="230"/>
    </row>
    <row r="742" spans="1:7" ht="19.5" customHeight="1">
      <c r="A742" s="230"/>
      <c r="B742" s="230"/>
      <c r="C742" s="230"/>
      <c r="F742" s="230"/>
      <c r="G742" s="230"/>
    </row>
    <row r="743" spans="1:7" ht="19.5" customHeight="1">
      <c r="A743" s="230"/>
      <c r="B743" s="230"/>
      <c r="C743" s="230"/>
      <c r="F743" s="230"/>
      <c r="G743" s="230"/>
    </row>
    <row r="744" spans="1:7" ht="19.5" customHeight="1">
      <c r="A744" s="230"/>
      <c r="B744" s="230"/>
      <c r="C744" s="230"/>
      <c r="F744" s="230"/>
      <c r="G744" s="230"/>
    </row>
    <row r="745" spans="1:7" ht="19.5" customHeight="1">
      <c r="A745" s="230"/>
      <c r="B745" s="230"/>
      <c r="C745" s="230"/>
      <c r="F745" s="230"/>
      <c r="G745" s="230"/>
    </row>
    <row r="746" spans="1:7" ht="19.5" customHeight="1">
      <c r="A746" s="230"/>
      <c r="B746" s="230"/>
      <c r="C746" s="230"/>
      <c r="F746" s="230"/>
      <c r="G746" s="230"/>
    </row>
    <row r="747" spans="1:7" ht="19.5" customHeight="1">
      <c r="A747" s="230"/>
      <c r="B747" s="230"/>
      <c r="C747" s="230"/>
      <c r="F747" s="230"/>
      <c r="G747" s="230"/>
    </row>
    <row r="748" spans="1:7" ht="19.5" customHeight="1">
      <c r="A748" s="230"/>
      <c r="B748" s="230"/>
      <c r="C748" s="230"/>
      <c r="F748" s="230"/>
      <c r="G748" s="230"/>
    </row>
    <row r="749" spans="1:7" ht="19.5" customHeight="1">
      <c r="A749" s="230"/>
      <c r="B749" s="230"/>
      <c r="C749" s="230"/>
      <c r="F749" s="230"/>
      <c r="G749" s="230"/>
    </row>
    <row r="750" spans="1:7" ht="19.5" customHeight="1">
      <c r="A750" s="230"/>
      <c r="B750" s="230"/>
      <c r="C750" s="230"/>
      <c r="F750" s="230"/>
      <c r="G750" s="230"/>
    </row>
    <row r="751" spans="1:7" ht="19.5" customHeight="1">
      <c r="A751" s="230"/>
      <c r="B751" s="230"/>
      <c r="C751" s="230"/>
      <c r="F751" s="230"/>
      <c r="G751" s="230"/>
    </row>
    <row r="752" spans="1:7" ht="19.5" customHeight="1">
      <c r="A752" s="230"/>
      <c r="B752" s="230"/>
      <c r="C752" s="230"/>
      <c r="F752" s="230"/>
      <c r="G752" s="230"/>
    </row>
    <row r="753" spans="1:7" ht="19.5" customHeight="1">
      <c r="A753" s="230"/>
      <c r="B753" s="230"/>
      <c r="C753" s="230"/>
      <c r="F753" s="230"/>
      <c r="G753" s="230"/>
    </row>
    <row r="754" spans="1:7" ht="19.5" customHeight="1">
      <c r="A754" s="230"/>
      <c r="B754" s="230"/>
      <c r="C754" s="230"/>
      <c r="F754" s="230"/>
      <c r="G754" s="230"/>
    </row>
    <row r="755" spans="1:7" ht="19.5" customHeight="1">
      <c r="A755" s="230"/>
      <c r="B755" s="230"/>
      <c r="C755" s="230"/>
      <c r="F755" s="230"/>
      <c r="G755" s="230"/>
    </row>
    <row r="756" spans="1:7" ht="19.5" customHeight="1">
      <c r="A756" s="230"/>
      <c r="B756" s="230"/>
      <c r="C756" s="230"/>
      <c r="F756" s="230"/>
      <c r="G756" s="230"/>
    </row>
    <row r="757" spans="1:7" ht="19.5" customHeight="1">
      <c r="A757" s="230"/>
      <c r="B757" s="230"/>
      <c r="C757" s="230"/>
      <c r="F757" s="230"/>
      <c r="G757" s="230"/>
    </row>
    <row r="758" spans="1:7" ht="19.5" customHeight="1">
      <c r="A758" s="230"/>
      <c r="B758" s="230"/>
      <c r="C758" s="230"/>
      <c r="F758" s="230"/>
      <c r="G758" s="230"/>
    </row>
    <row r="759" spans="1:7" ht="19.5" customHeight="1">
      <c r="A759" s="230"/>
      <c r="B759" s="230"/>
      <c r="C759" s="230"/>
      <c r="F759" s="230"/>
      <c r="G759" s="230"/>
    </row>
    <row r="760" spans="1:7" ht="19.5" customHeight="1">
      <c r="A760" s="230"/>
      <c r="B760" s="230"/>
      <c r="C760" s="230"/>
      <c r="F760" s="230"/>
      <c r="G760" s="230"/>
    </row>
    <row r="761" spans="1:7" ht="19.5" customHeight="1">
      <c r="A761" s="230"/>
      <c r="B761" s="230"/>
      <c r="C761" s="230"/>
      <c r="F761" s="230"/>
      <c r="G761" s="230"/>
    </row>
    <row r="762" spans="1:7" ht="19.5" customHeight="1">
      <c r="A762" s="230"/>
      <c r="B762" s="230"/>
      <c r="C762" s="230"/>
      <c r="F762" s="230"/>
      <c r="G762" s="230"/>
    </row>
    <row r="763" spans="1:7" ht="19.5" customHeight="1">
      <c r="A763" s="230"/>
      <c r="B763" s="230"/>
      <c r="C763" s="230"/>
      <c r="F763" s="230"/>
      <c r="G763" s="230"/>
    </row>
    <row r="764" spans="1:7" ht="19.5" customHeight="1">
      <c r="A764" s="230"/>
      <c r="B764" s="230"/>
      <c r="C764" s="230"/>
      <c r="F764" s="230"/>
      <c r="G764" s="230"/>
    </row>
    <row r="765" spans="1:7" ht="19.5" customHeight="1">
      <c r="A765" s="230"/>
      <c r="B765" s="230"/>
      <c r="C765" s="230"/>
      <c r="F765" s="230"/>
      <c r="G765" s="230"/>
    </row>
    <row r="766" spans="1:7" ht="19.5" customHeight="1">
      <c r="A766" s="230"/>
      <c r="B766" s="230"/>
      <c r="C766" s="230"/>
      <c r="F766" s="230"/>
      <c r="G766" s="230"/>
    </row>
    <row r="767" spans="1:7" ht="19.5" customHeight="1">
      <c r="A767" s="230"/>
      <c r="B767" s="230"/>
      <c r="C767" s="230"/>
      <c r="F767" s="230"/>
      <c r="G767" s="230"/>
    </row>
    <row r="768" spans="1:7" ht="19.5" customHeight="1">
      <c r="A768" s="230"/>
      <c r="B768" s="230"/>
      <c r="C768" s="230"/>
      <c r="F768" s="230"/>
      <c r="G768" s="230"/>
    </row>
    <row r="769" spans="1:7" ht="19.5" customHeight="1">
      <c r="A769" s="230"/>
      <c r="B769" s="230"/>
      <c r="C769" s="230"/>
      <c r="F769" s="230"/>
      <c r="G769" s="230"/>
    </row>
    <row r="770" spans="1:7" ht="19.5" customHeight="1">
      <c r="A770" s="230"/>
      <c r="B770" s="230"/>
      <c r="C770" s="230"/>
      <c r="F770" s="230"/>
      <c r="G770" s="230"/>
    </row>
    <row r="771" spans="1:7" ht="19.5" customHeight="1">
      <c r="A771" s="230"/>
      <c r="B771" s="230"/>
      <c r="C771" s="230"/>
      <c r="F771" s="230"/>
      <c r="G771" s="230"/>
    </row>
    <row r="772" spans="1:7" ht="19.5" customHeight="1">
      <c r="A772" s="230"/>
      <c r="B772" s="230"/>
      <c r="C772" s="230"/>
      <c r="F772" s="230"/>
      <c r="G772" s="230"/>
    </row>
    <row r="773" spans="1:7" ht="19.5" customHeight="1">
      <c r="A773" s="230"/>
      <c r="B773" s="230"/>
      <c r="C773" s="230"/>
      <c r="F773" s="230"/>
      <c r="G773" s="230"/>
    </row>
    <row r="774" spans="1:7" ht="19.5" customHeight="1">
      <c r="A774" s="230"/>
      <c r="B774" s="230"/>
      <c r="C774" s="230"/>
      <c r="F774" s="230"/>
      <c r="G774" s="230"/>
    </row>
    <row r="775" spans="1:7" ht="19.5" customHeight="1">
      <c r="A775" s="230"/>
      <c r="B775" s="230"/>
      <c r="C775" s="230"/>
      <c r="F775" s="230"/>
      <c r="G775" s="230"/>
    </row>
    <row r="776" spans="1:7" ht="19.5" customHeight="1">
      <c r="A776" s="230"/>
      <c r="B776" s="230"/>
      <c r="C776" s="230"/>
      <c r="F776" s="230"/>
      <c r="G776" s="230"/>
    </row>
    <row r="777" spans="1:7" ht="19.5" customHeight="1">
      <c r="A777" s="230"/>
      <c r="B777" s="230"/>
      <c r="C777" s="230"/>
      <c r="F777" s="230"/>
      <c r="G777" s="230"/>
    </row>
    <row r="778" spans="1:7" ht="19.5" customHeight="1">
      <c r="A778" s="230"/>
      <c r="B778" s="230"/>
      <c r="C778" s="230"/>
      <c r="F778" s="230"/>
      <c r="G778" s="230"/>
    </row>
    <row r="779" spans="1:7" ht="19.5" customHeight="1">
      <c r="A779" s="230"/>
      <c r="B779" s="230"/>
      <c r="C779" s="230"/>
      <c r="F779" s="230"/>
      <c r="G779" s="230"/>
    </row>
    <row r="780" spans="1:7" ht="19.5" customHeight="1">
      <c r="A780" s="230"/>
      <c r="B780" s="230"/>
      <c r="C780" s="230"/>
      <c r="F780" s="230"/>
      <c r="G780" s="230"/>
    </row>
    <row r="781" spans="1:7" ht="19.5" customHeight="1">
      <c r="A781" s="230"/>
      <c r="B781" s="230"/>
      <c r="C781" s="230"/>
      <c r="F781" s="230"/>
      <c r="G781" s="230"/>
    </row>
    <row r="782" spans="1:7" ht="19.5" customHeight="1">
      <c r="A782" s="230"/>
      <c r="B782" s="230"/>
      <c r="C782" s="230"/>
      <c r="F782" s="230"/>
      <c r="G782" s="230"/>
    </row>
    <row r="783" spans="1:7" ht="19.5" customHeight="1">
      <c r="A783" s="230"/>
      <c r="B783" s="230"/>
      <c r="C783" s="230"/>
      <c r="F783" s="230"/>
      <c r="G783" s="230"/>
    </row>
    <row r="784" spans="1:7" ht="19.5" customHeight="1">
      <c r="A784" s="230"/>
      <c r="B784" s="230"/>
      <c r="C784" s="230"/>
      <c r="F784" s="230"/>
      <c r="G784" s="230"/>
    </row>
    <row r="785" spans="1:7" ht="19.5" customHeight="1">
      <c r="A785" s="230"/>
      <c r="B785" s="230"/>
      <c r="C785" s="230"/>
      <c r="F785" s="230"/>
      <c r="G785" s="230"/>
    </row>
    <row r="786" spans="1:7" ht="19.5" customHeight="1">
      <c r="A786" s="230"/>
      <c r="B786" s="230"/>
      <c r="C786" s="230"/>
      <c r="F786" s="230"/>
      <c r="G786" s="230"/>
    </row>
    <row r="787" spans="1:7" ht="19.5" customHeight="1">
      <c r="A787" s="230"/>
      <c r="B787" s="230"/>
      <c r="C787" s="230"/>
      <c r="F787" s="230"/>
      <c r="G787" s="230"/>
    </row>
    <row r="788" spans="1:7" ht="19.5" customHeight="1">
      <c r="A788" s="230"/>
      <c r="B788" s="230"/>
      <c r="C788" s="230"/>
      <c r="F788" s="230"/>
      <c r="G788" s="230"/>
    </row>
    <row r="789" spans="1:7" ht="19.5" customHeight="1">
      <c r="A789" s="230"/>
      <c r="B789" s="230"/>
      <c r="C789" s="230"/>
      <c r="F789" s="230"/>
      <c r="G789" s="230"/>
    </row>
    <row r="790" spans="1:7" ht="19.5" customHeight="1">
      <c r="A790" s="230"/>
      <c r="B790" s="230"/>
      <c r="C790" s="230"/>
      <c r="F790" s="230"/>
      <c r="G790" s="230"/>
    </row>
    <row r="791" spans="1:7" ht="19.5" customHeight="1">
      <c r="A791" s="230"/>
      <c r="B791" s="230"/>
      <c r="C791" s="230"/>
      <c r="F791" s="230"/>
      <c r="G791" s="230"/>
    </row>
    <row r="792" spans="1:7" ht="19.5" customHeight="1">
      <c r="A792" s="230"/>
      <c r="B792" s="230"/>
      <c r="C792" s="230"/>
      <c r="F792" s="230"/>
      <c r="G792" s="230"/>
    </row>
    <row r="793" spans="1:7" ht="19.5" customHeight="1">
      <c r="A793" s="230"/>
      <c r="B793" s="230"/>
      <c r="C793" s="230"/>
      <c r="F793" s="230"/>
      <c r="G793" s="230"/>
    </row>
    <row r="794" spans="1:7" ht="19.5" customHeight="1">
      <c r="A794" s="230"/>
      <c r="B794" s="230"/>
      <c r="C794" s="230"/>
      <c r="F794" s="230"/>
      <c r="G794" s="230"/>
    </row>
    <row r="795" spans="1:7" ht="19.5" customHeight="1">
      <c r="A795" s="230"/>
      <c r="B795" s="230"/>
      <c r="C795" s="230"/>
      <c r="F795" s="230"/>
      <c r="G795" s="230"/>
    </row>
    <row r="796" spans="1:7" ht="19.5" customHeight="1">
      <c r="A796" s="230"/>
      <c r="B796" s="230"/>
      <c r="C796" s="230"/>
      <c r="F796" s="230"/>
      <c r="G796" s="230"/>
    </row>
    <row r="797" spans="1:7" ht="19.5" customHeight="1">
      <c r="A797" s="230"/>
      <c r="B797" s="230"/>
      <c r="C797" s="230"/>
      <c r="F797" s="230"/>
      <c r="G797" s="230"/>
    </row>
    <row r="798" spans="1:7" ht="19.5" customHeight="1">
      <c r="A798" s="230"/>
      <c r="B798" s="230"/>
      <c r="C798" s="230"/>
      <c r="F798" s="230"/>
      <c r="G798" s="230"/>
    </row>
    <row r="799" spans="1:7" ht="19.5" customHeight="1">
      <c r="A799" s="230"/>
      <c r="B799" s="230"/>
      <c r="C799" s="230"/>
      <c r="F799" s="230"/>
      <c r="G799" s="230"/>
    </row>
    <row r="800" spans="1:7" ht="19.5" customHeight="1">
      <c r="A800" s="230"/>
      <c r="B800" s="230"/>
      <c r="C800" s="230"/>
      <c r="F800" s="230"/>
      <c r="G800" s="230"/>
    </row>
    <row r="801" spans="1:7" ht="19.5" customHeight="1">
      <c r="A801" s="230"/>
      <c r="B801" s="230"/>
      <c r="C801" s="230"/>
      <c r="F801" s="230"/>
      <c r="G801" s="230"/>
    </row>
    <row r="802" spans="1:7" ht="19.5" customHeight="1">
      <c r="A802" s="230"/>
      <c r="B802" s="230"/>
      <c r="C802" s="230"/>
      <c r="F802" s="230"/>
      <c r="G802" s="230"/>
    </row>
    <row r="803" spans="1:7" ht="19.5" customHeight="1">
      <c r="A803" s="230"/>
      <c r="B803" s="230"/>
      <c r="C803" s="230"/>
      <c r="F803" s="230"/>
      <c r="G803" s="230"/>
    </row>
    <row r="804" spans="1:7" ht="19.5" customHeight="1">
      <c r="A804" s="230"/>
      <c r="B804" s="230"/>
      <c r="C804" s="230"/>
      <c r="F804" s="230"/>
      <c r="G804" s="230"/>
    </row>
    <row r="805" spans="1:7" ht="19.5" customHeight="1">
      <c r="A805" s="230"/>
      <c r="B805" s="230"/>
      <c r="C805" s="230"/>
      <c r="F805" s="230"/>
      <c r="G805" s="230"/>
    </row>
    <row r="806" spans="1:7" ht="19.5" customHeight="1">
      <c r="A806" s="230"/>
      <c r="B806" s="230"/>
      <c r="C806" s="230"/>
      <c r="F806" s="230"/>
      <c r="G806" s="230"/>
    </row>
    <row r="807" spans="1:7" ht="19.5" customHeight="1">
      <c r="A807" s="230"/>
      <c r="B807" s="230"/>
      <c r="C807" s="230"/>
      <c r="F807" s="230"/>
      <c r="G807" s="230"/>
    </row>
    <row r="808" spans="1:7" ht="19.5" customHeight="1">
      <c r="A808" s="230"/>
      <c r="B808" s="230"/>
      <c r="C808" s="230"/>
      <c r="F808" s="230"/>
      <c r="G808" s="230"/>
    </row>
    <row r="809" spans="1:7" ht="19.5" customHeight="1">
      <c r="A809" s="230"/>
      <c r="B809" s="230"/>
      <c r="C809" s="230"/>
      <c r="F809" s="230"/>
      <c r="G809" s="230"/>
    </row>
    <row r="810" spans="1:7" ht="19.5" customHeight="1">
      <c r="A810" s="230"/>
      <c r="B810" s="230"/>
      <c r="C810" s="230"/>
      <c r="F810" s="230"/>
      <c r="G810" s="230"/>
    </row>
    <row r="811" spans="1:7" ht="19.5" customHeight="1">
      <c r="A811" s="230"/>
      <c r="B811" s="230"/>
      <c r="C811" s="230"/>
      <c r="F811" s="230"/>
      <c r="G811" s="230"/>
    </row>
    <row r="812" spans="1:7" ht="19.5" customHeight="1">
      <c r="A812" s="230"/>
      <c r="B812" s="230"/>
      <c r="C812" s="230"/>
      <c r="F812" s="230"/>
      <c r="G812" s="230"/>
    </row>
    <row r="813" spans="1:7" ht="19.5" customHeight="1">
      <c r="A813" s="230"/>
      <c r="B813" s="230"/>
      <c r="C813" s="230"/>
      <c r="F813" s="230"/>
      <c r="G813" s="230"/>
    </row>
    <row r="814" spans="1:7" ht="19.5" customHeight="1">
      <c r="A814" s="230"/>
      <c r="B814" s="230"/>
      <c r="C814" s="230"/>
      <c r="F814" s="230"/>
      <c r="G814" s="230"/>
    </row>
    <row r="815" spans="1:7" ht="19.5" customHeight="1">
      <c r="A815" s="230"/>
      <c r="B815" s="230"/>
      <c r="C815" s="230"/>
      <c r="F815" s="230"/>
      <c r="G815" s="230"/>
    </row>
    <row r="816" spans="1:7" ht="19.5" customHeight="1">
      <c r="A816" s="230"/>
      <c r="B816" s="230"/>
      <c r="C816" s="230"/>
      <c r="F816" s="230"/>
      <c r="G816" s="230"/>
    </row>
    <row r="817" spans="1:7" ht="19.5" customHeight="1">
      <c r="A817" s="230"/>
      <c r="B817" s="230"/>
      <c r="C817" s="230"/>
      <c r="F817" s="230"/>
      <c r="G817" s="230"/>
    </row>
    <row r="818" spans="1:7" ht="19.5" customHeight="1">
      <c r="A818" s="230"/>
      <c r="B818" s="230"/>
      <c r="C818" s="230"/>
      <c r="F818" s="230"/>
      <c r="G818" s="230"/>
    </row>
    <row r="819" spans="1:7" ht="19.5" customHeight="1">
      <c r="A819" s="230"/>
      <c r="B819" s="230"/>
      <c r="C819" s="230"/>
      <c r="F819" s="230"/>
      <c r="G819" s="230"/>
    </row>
    <row r="820" spans="1:7" ht="19.5" customHeight="1">
      <c r="A820" s="230"/>
      <c r="B820" s="230"/>
      <c r="C820" s="230"/>
      <c r="F820" s="230"/>
      <c r="G820" s="230"/>
    </row>
    <row r="821" spans="1:7" ht="19.5" customHeight="1">
      <c r="A821" s="271"/>
      <c r="B821" s="271"/>
      <c r="C821" s="271"/>
      <c r="D821" s="271"/>
      <c r="G821" s="273"/>
    </row>
    <row r="822" spans="1:7" ht="19.5" customHeight="1">
      <c r="A822" s="271"/>
      <c r="B822" s="271"/>
      <c r="C822" s="271"/>
      <c r="D822" s="271"/>
      <c r="G822" s="273"/>
    </row>
    <row r="823" spans="1:7" ht="19.5" customHeight="1">
      <c r="A823" s="271"/>
      <c r="B823" s="271"/>
      <c r="C823" s="271"/>
      <c r="D823" s="271"/>
      <c r="G823" s="273"/>
    </row>
    <row r="824" spans="1:7" ht="19.5" customHeight="1">
      <c r="A824" s="271"/>
      <c r="B824" s="271"/>
      <c r="C824" s="271"/>
      <c r="D824" s="271"/>
      <c r="G824" s="273"/>
    </row>
    <row r="825" spans="1:7" ht="19.5" customHeight="1">
      <c r="A825" s="271"/>
      <c r="B825" s="271"/>
      <c r="C825" s="271"/>
      <c r="D825" s="271"/>
      <c r="G825" s="273"/>
    </row>
  </sheetData>
  <sheetProtection/>
  <mergeCells count="39">
    <mergeCell ref="A89:G89"/>
    <mergeCell ref="A96:G96"/>
    <mergeCell ref="E1:G1"/>
    <mergeCell ref="A2:G2"/>
    <mergeCell ref="A3:G3"/>
    <mergeCell ref="A4:D4"/>
    <mergeCell ref="E4:E7"/>
    <mergeCell ref="A88:G88"/>
    <mergeCell ref="A126:G126"/>
    <mergeCell ref="A128:G128"/>
    <mergeCell ref="A136:C136"/>
    <mergeCell ref="A91:G91"/>
    <mergeCell ref="A94:G94"/>
    <mergeCell ref="A95:G95"/>
    <mergeCell ref="A129:G129"/>
    <mergeCell ref="A127:G127"/>
    <mergeCell ref="A141:G141"/>
    <mergeCell ref="A143:G143"/>
    <mergeCell ref="A142:G142"/>
    <mergeCell ref="A152:G152"/>
    <mergeCell ref="A131:D131"/>
    <mergeCell ref="A149:D149"/>
    <mergeCell ref="A140:G140"/>
    <mergeCell ref="A145:D145"/>
    <mergeCell ref="A174:E174"/>
    <mergeCell ref="A148:B148"/>
    <mergeCell ref="A163:G163"/>
    <mergeCell ref="A164:G164"/>
    <mergeCell ref="A165:G165"/>
    <mergeCell ref="A151:G151"/>
    <mergeCell ref="A177:E177"/>
    <mergeCell ref="A171:E171"/>
    <mergeCell ref="A167:D167"/>
    <mergeCell ref="A168:D168"/>
    <mergeCell ref="A169:D169"/>
    <mergeCell ref="A132:B132"/>
    <mergeCell ref="A137:C137"/>
    <mergeCell ref="A138:C138"/>
    <mergeCell ref="A162:G16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1">
      <selection activeCell="A50" sqref="A50"/>
    </sheetView>
  </sheetViews>
  <sheetFormatPr defaultColWidth="9.140625" defaultRowHeight="12.75"/>
  <cols>
    <col min="1" max="1" width="42.28125" style="123" customWidth="1"/>
    <col min="2" max="2" width="7.140625" style="112" customWidth="1"/>
    <col min="3" max="3" width="12.8515625" style="113" customWidth="1"/>
    <col min="4" max="4" width="11.7109375" style="113" customWidth="1"/>
    <col min="5" max="5" width="11.8515625" style="113" bestFit="1" customWidth="1"/>
    <col min="6" max="6" width="14.421875" style="113" customWidth="1"/>
    <col min="7" max="16384" width="9.140625" style="1" customWidth="1"/>
  </cols>
  <sheetData>
    <row r="1" spans="1:6" ht="18.75">
      <c r="A1" s="317" t="s">
        <v>64</v>
      </c>
      <c r="B1" s="317"/>
      <c r="C1" s="317"/>
      <c r="D1" s="317"/>
      <c r="E1" s="317"/>
      <c r="F1" s="317"/>
    </row>
    <row r="2" spans="1:6" ht="18.75">
      <c r="A2" s="317" t="s">
        <v>438</v>
      </c>
      <c r="B2" s="317"/>
      <c r="C2" s="317"/>
      <c r="D2" s="317"/>
      <c r="E2" s="317"/>
      <c r="F2" s="317"/>
    </row>
    <row r="3" spans="1:6" ht="18.75">
      <c r="A3" s="317" t="s">
        <v>515</v>
      </c>
      <c r="B3" s="317"/>
      <c r="C3" s="317"/>
      <c r="D3" s="317"/>
      <c r="E3" s="317"/>
      <c r="F3" s="317"/>
    </row>
    <row r="4" spans="1:6" ht="18.75">
      <c r="A4" s="325"/>
      <c r="B4" s="325"/>
      <c r="C4" s="325"/>
      <c r="D4" s="325"/>
      <c r="E4" s="325"/>
      <c r="F4" s="325"/>
    </row>
    <row r="5" spans="1:6" ht="18.75">
      <c r="A5" s="320" t="s">
        <v>11</v>
      </c>
      <c r="B5" s="321"/>
      <c r="C5" s="322"/>
      <c r="D5" s="322"/>
      <c r="E5" s="322"/>
      <c r="F5" s="323"/>
    </row>
    <row r="6" spans="1:6" ht="18.75">
      <c r="A6" s="319" t="s">
        <v>24</v>
      </c>
      <c r="B6" s="318" t="s">
        <v>3</v>
      </c>
      <c r="C6" s="318" t="s">
        <v>22</v>
      </c>
      <c r="D6" s="318" t="s">
        <v>439</v>
      </c>
      <c r="E6" s="318" t="s">
        <v>37</v>
      </c>
      <c r="F6" s="100" t="s">
        <v>136</v>
      </c>
    </row>
    <row r="7" spans="1:6" ht="18.75">
      <c r="A7" s="319"/>
      <c r="B7" s="318"/>
      <c r="C7" s="318"/>
      <c r="D7" s="318"/>
      <c r="E7" s="318"/>
      <c r="F7" s="100" t="s">
        <v>22</v>
      </c>
    </row>
    <row r="8" spans="1:6" ht="18.75">
      <c r="A8" s="114" t="s">
        <v>38</v>
      </c>
      <c r="B8" s="105"/>
      <c r="C8" s="101"/>
      <c r="D8" s="101"/>
      <c r="E8" s="101"/>
      <c r="F8" s="101"/>
    </row>
    <row r="9" spans="1:6" ht="18.75">
      <c r="A9" s="115" t="s">
        <v>39</v>
      </c>
      <c r="B9" s="48" t="s">
        <v>344</v>
      </c>
      <c r="C9" s="50"/>
      <c r="D9" s="50"/>
      <c r="E9" s="50"/>
      <c r="F9" s="50"/>
    </row>
    <row r="10" spans="1:6" ht="18.75">
      <c r="A10" s="116" t="s">
        <v>40</v>
      </c>
      <c r="B10" s="102">
        <v>411001</v>
      </c>
      <c r="C10" s="50">
        <v>261700</v>
      </c>
      <c r="D10" s="183"/>
      <c r="E10" s="50"/>
      <c r="F10" s="50">
        <f>E10-C10</f>
        <v>-261700</v>
      </c>
    </row>
    <row r="11" spans="1:6" ht="18.75">
      <c r="A11" s="116" t="s">
        <v>41</v>
      </c>
      <c r="B11" s="102">
        <v>411002</v>
      </c>
      <c r="C11" s="50">
        <v>99000</v>
      </c>
      <c r="D11" s="50">
        <v>112.14</v>
      </c>
      <c r="E11" s="50">
        <f>D11</f>
        <v>112.14</v>
      </c>
      <c r="F11" s="50">
        <f>E11-C11</f>
        <v>-98887.86</v>
      </c>
    </row>
    <row r="12" spans="1:6" ht="18.75">
      <c r="A12" s="116" t="s">
        <v>56</v>
      </c>
      <c r="B12" s="102">
        <v>411003</v>
      </c>
      <c r="C12" s="50">
        <v>12800</v>
      </c>
      <c r="D12" s="182"/>
      <c r="E12" s="50"/>
      <c r="F12" s="50">
        <f>E12-C12</f>
        <v>-12800</v>
      </c>
    </row>
    <row r="13" spans="1:6" ht="19.5" thickBot="1">
      <c r="A13" s="117" t="s">
        <v>19</v>
      </c>
      <c r="B13" s="2"/>
      <c r="C13" s="104">
        <f>SUM(C10:C12)</f>
        <v>373500</v>
      </c>
      <c r="D13" s="104">
        <f>SUM(D11:D12)</f>
        <v>112.14</v>
      </c>
      <c r="E13" s="104">
        <f>SUM(D13)</f>
        <v>112.14</v>
      </c>
      <c r="F13" s="104">
        <f>SUM(F10:F12)</f>
        <v>-373387.86</v>
      </c>
    </row>
    <row r="14" spans="1:6" ht="19.5" thickTop="1">
      <c r="A14" s="118" t="s">
        <v>42</v>
      </c>
      <c r="B14" s="99" t="s">
        <v>345</v>
      </c>
      <c r="C14" s="50"/>
      <c r="D14" s="50"/>
      <c r="E14" s="50"/>
      <c r="F14" s="50"/>
    </row>
    <row r="15" spans="1:6" ht="18.75">
      <c r="A15" s="213" t="s">
        <v>389</v>
      </c>
      <c r="B15" s="9" t="s">
        <v>390</v>
      </c>
      <c r="C15" s="50">
        <v>1300</v>
      </c>
      <c r="D15" s="50"/>
      <c r="E15" s="50"/>
      <c r="F15" s="50">
        <f>E15-C15</f>
        <v>-1300</v>
      </c>
    </row>
    <row r="16" spans="1:6" ht="18.75">
      <c r="A16" s="116" t="s">
        <v>43</v>
      </c>
      <c r="B16" s="102">
        <v>412106</v>
      </c>
      <c r="C16" s="50">
        <v>1800</v>
      </c>
      <c r="D16" s="50">
        <v>186</v>
      </c>
      <c r="E16" s="50">
        <f>D16</f>
        <v>186</v>
      </c>
      <c r="F16" s="50">
        <f aca="true" t="shared" si="0" ref="F16:F24">E16-C16</f>
        <v>-1614</v>
      </c>
    </row>
    <row r="17" spans="1:6" ht="18.75">
      <c r="A17" s="116" t="s">
        <v>351</v>
      </c>
      <c r="B17" s="102">
        <v>412111</v>
      </c>
      <c r="C17" s="50">
        <v>50</v>
      </c>
      <c r="D17" s="183"/>
      <c r="E17" s="50"/>
      <c r="F17" s="50">
        <f t="shared" si="0"/>
        <v>-50</v>
      </c>
    </row>
    <row r="18" spans="1:6" ht="18.75">
      <c r="A18" s="116" t="s">
        <v>78</v>
      </c>
      <c r="B18" s="102">
        <v>412128</v>
      </c>
      <c r="C18" s="50">
        <v>300</v>
      </c>
      <c r="D18" s="50"/>
      <c r="E18" s="50"/>
      <c r="F18" s="50">
        <f t="shared" si="0"/>
        <v>-300</v>
      </c>
    </row>
    <row r="19" spans="1:6" ht="18.75">
      <c r="A19" s="116" t="s">
        <v>130</v>
      </c>
      <c r="B19" s="5" t="s">
        <v>352</v>
      </c>
      <c r="C19" s="50">
        <v>82500</v>
      </c>
      <c r="D19" s="50"/>
      <c r="E19" s="50"/>
      <c r="F19" s="50">
        <f t="shared" si="0"/>
        <v>-82500</v>
      </c>
    </row>
    <row r="20" spans="1:6" ht="18.75">
      <c r="A20" s="116" t="s">
        <v>131</v>
      </c>
      <c r="B20" s="5" t="s">
        <v>353</v>
      </c>
      <c r="C20" s="50">
        <v>4000</v>
      </c>
      <c r="D20" s="183"/>
      <c r="E20" s="50"/>
      <c r="F20" s="50">
        <f t="shared" si="0"/>
        <v>-4000</v>
      </c>
    </row>
    <row r="21" spans="1:6" ht="18.75">
      <c r="A21" s="116" t="s">
        <v>354</v>
      </c>
      <c r="B21" s="5" t="s">
        <v>355</v>
      </c>
      <c r="C21" s="50">
        <v>60600</v>
      </c>
      <c r="D21" s="50"/>
      <c r="E21" s="50"/>
      <c r="F21" s="50">
        <f t="shared" si="0"/>
        <v>-60600</v>
      </c>
    </row>
    <row r="22" spans="1:6" ht="18.75">
      <c r="A22" s="116" t="s">
        <v>132</v>
      </c>
      <c r="B22" s="5" t="s">
        <v>356</v>
      </c>
      <c r="C22" s="50">
        <v>21900</v>
      </c>
      <c r="D22" s="50">
        <v>3360</v>
      </c>
      <c r="E22" s="50">
        <f>D22</f>
        <v>3360</v>
      </c>
      <c r="F22" s="50">
        <f t="shared" si="0"/>
        <v>-18540</v>
      </c>
    </row>
    <row r="23" spans="1:6" ht="18.75">
      <c r="A23" s="116" t="s">
        <v>133</v>
      </c>
      <c r="B23" s="5" t="s">
        <v>357</v>
      </c>
      <c r="C23" s="50">
        <v>500</v>
      </c>
      <c r="D23" s="50">
        <v>80</v>
      </c>
      <c r="E23" s="50">
        <f>D23</f>
        <v>80</v>
      </c>
      <c r="F23" s="50">
        <f t="shared" si="0"/>
        <v>-420</v>
      </c>
    </row>
    <row r="24" spans="1:6" ht="19.5" thickBot="1">
      <c r="A24" s="117" t="s">
        <v>19</v>
      </c>
      <c r="B24" s="105"/>
      <c r="C24" s="104">
        <f>SUM(C15:C23)</f>
        <v>172950</v>
      </c>
      <c r="D24" s="104">
        <f>SUM(D16:D23)</f>
        <v>3626</v>
      </c>
      <c r="E24" s="104">
        <f>SUM(E22:E23)</f>
        <v>3440</v>
      </c>
      <c r="F24" s="104">
        <f t="shared" si="0"/>
        <v>-169510</v>
      </c>
    </row>
    <row r="25" spans="1:6" ht="19.5" thickTop="1">
      <c r="A25" s="119" t="s">
        <v>44</v>
      </c>
      <c r="B25" s="48" t="s">
        <v>346</v>
      </c>
      <c r="C25" s="50"/>
      <c r="D25" s="50"/>
      <c r="E25" s="50"/>
      <c r="F25" s="50"/>
    </row>
    <row r="26" spans="1:6" ht="18.75">
      <c r="A26" s="116" t="s">
        <v>45</v>
      </c>
      <c r="B26" s="5" t="s">
        <v>358</v>
      </c>
      <c r="C26" s="50">
        <v>200000</v>
      </c>
      <c r="D26" s="50">
        <v>5543.01</v>
      </c>
      <c r="E26" s="50">
        <f>D26</f>
        <v>5543.01</v>
      </c>
      <c r="F26" s="50">
        <f>E26-C26</f>
        <v>-194456.99</v>
      </c>
    </row>
    <row r="27" spans="1:6" ht="19.5" thickBot="1">
      <c r="A27" s="117" t="s">
        <v>19</v>
      </c>
      <c r="B27" s="105"/>
      <c r="C27" s="104">
        <f>SUM(C26)</f>
        <v>200000</v>
      </c>
      <c r="D27" s="104">
        <f>SUM(D25:D26)</f>
        <v>5543.01</v>
      </c>
      <c r="E27" s="104">
        <f>SUM(E25:E26)</f>
        <v>5543.01</v>
      </c>
      <c r="F27" s="104">
        <f>SUM(F26)</f>
        <v>-194456.99</v>
      </c>
    </row>
    <row r="28" spans="1:6" ht="19.5" thickTop="1">
      <c r="A28" s="119" t="s">
        <v>46</v>
      </c>
      <c r="B28" s="48" t="s">
        <v>347</v>
      </c>
      <c r="C28" s="50"/>
      <c r="D28" s="50"/>
      <c r="E28" s="50"/>
      <c r="F28" s="50"/>
    </row>
    <row r="29" spans="1:6" ht="18.75">
      <c r="A29" s="116" t="s">
        <v>47</v>
      </c>
      <c r="B29" s="5" t="s">
        <v>359</v>
      </c>
      <c r="C29" s="50">
        <v>50000</v>
      </c>
      <c r="D29" s="106">
        <v>4500</v>
      </c>
      <c r="E29" s="50">
        <f>D29</f>
        <v>4500</v>
      </c>
      <c r="F29" s="50">
        <f>E29-C29</f>
        <v>-45500</v>
      </c>
    </row>
    <row r="30" spans="1:6" ht="18.75">
      <c r="A30" s="116" t="s">
        <v>79</v>
      </c>
      <c r="B30" s="5" t="s">
        <v>360</v>
      </c>
      <c r="C30" s="50">
        <v>100</v>
      </c>
      <c r="D30" s="183"/>
      <c r="E30" s="50"/>
      <c r="F30" s="50">
        <f>E30-C30</f>
        <v>-100</v>
      </c>
    </row>
    <row r="31" spans="1:6" ht="18.75">
      <c r="A31" s="116" t="s">
        <v>80</v>
      </c>
      <c r="B31" s="5" t="s">
        <v>361</v>
      </c>
      <c r="C31" s="50">
        <v>700</v>
      </c>
      <c r="D31" s="106"/>
      <c r="E31" s="50"/>
      <c r="F31" s="50">
        <f>E31-C31</f>
        <v>-700</v>
      </c>
    </row>
    <row r="32" spans="1:6" ht="19.5" thickBot="1">
      <c r="A32" s="117" t="s">
        <v>19</v>
      </c>
      <c r="B32" s="5"/>
      <c r="C32" s="104">
        <f>SUM(C29:C31)</f>
        <v>50800</v>
      </c>
      <c r="D32" s="104">
        <f>SUM(D29:D31)</f>
        <v>4500</v>
      </c>
      <c r="E32" s="104">
        <f>SUM(E29)</f>
        <v>4500</v>
      </c>
      <c r="F32" s="104">
        <f>SUM(F29:F31)</f>
        <v>-46300</v>
      </c>
    </row>
    <row r="33" spans="1:6" ht="19.5" thickTop="1">
      <c r="A33" s="115" t="s">
        <v>77</v>
      </c>
      <c r="B33" s="48" t="s">
        <v>348</v>
      </c>
      <c r="C33" s="50"/>
      <c r="D33" s="50"/>
      <c r="E33" s="50"/>
      <c r="F33" s="50"/>
    </row>
    <row r="34" spans="1:6" ht="18.75">
      <c r="A34" s="116" t="s">
        <v>81</v>
      </c>
      <c r="B34" s="5" t="s">
        <v>362</v>
      </c>
      <c r="C34" s="50">
        <v>500</v>
      </c>
      <c r="D34" s="183"/>
      <c r="E34" s="183"/>
      <c r="F34" s="50">
        <f>E34-C34</f>
        <v>-500</v>
      </c>
    </row>
    <row r="35" spans="1:6" ht="19.5" thickBot="1">
      <c r="A35" s="120" t="s">
        <v>19</v>
      </c>
      <c r="B35" s="107"/>
      <c r="C35" s="104">
        <f>SUM(C34)</f>
        <v>500</v>
      </c>
      <c r="D35" s="104">
        <f>SUM(D33:D34)</f>
        <v>0</v>
      </c>
      <c r="E35" s="104">
        <f>SUM(E33:E34)</f>
        <v>0</v>
      </c>
      <c r="F35" s="104">
        <f>E35-C35</f>
        <v>-500</v>
      </c>
    </row>
    <row r="36" spans="1:6" ht="18.75" customHeight="1" thickTop="1">
      <c r="A36" s="324"/>
      <c r="B36" s="324"/>
      <c r="C36" s="324"/>
      <c r="D36" s="324"/>
      <c r="E36" s="324"/>
      <c r="F36" s="324"/>
    </row>
    <row r="37" spans="1:6" ht="18.75" customHeight="1">
      <c r="A37" s="108"/>
      <c r="B37" s="108"/>
      <c r="C37" s="108"/>
      <c r="D37" s="108"/>
      <c r="E37" s="108"/>
      <c r="F37" s="108"/>
    </row>
    <row r="38" spans="1:6" ht="18.75" customHeight="1">
      <c r="A38" s="108"/>
      <c r="B38" s="108"/>
      <c r="C38" s="108"/>
      <c r="D38" s="108"/>
      <c r="E38" s="108"/>
      <c r="F38" s="108"/>
    </row>
    <row r="39" spans="1:6" ht="18.75" customHeight="1">
      <c r="A39" s="108"/>
      <c r="B39" s="108"/>
      <c r="C39" s="108"/>
      <c r="D39" s="108"/>
      <c r="E39" s="108"/>
      <c r="F39" s="108"/>
    </row>
    <row r="40" spans="1:6" ht="18.75" customHeight="1">
      <c r="A40" s="108"/>
      <c r="B40" s="108"/>
      <c r="C40" s="108"/>
      <c r="D40" s="108"/>
      <c r="E40" s="108"/>
      <c r="F40" s="108"/>
    </row>
    <row r="41" spans="1:6" ht="18.75" customHeight="1">
      <c r="A41" s="108"/>
      <c r="B41" s="108"/>
      <c r="C41" s="108"/>
      <c r="D41" s="108"/>
      <c r="E41" s="108"/>
      <c r="F41" s="108"/>
    </row>
    <row r="42" spans="1:6" ht="18.75" customHeight="1">
      <c r="A42" s="326" t="s">
        <v>53</v>
      </c>
      <c r="B42" s="326"/>
      <c r="C42" s="326"/>
      <c r="D42" s="326"/>
      <c r="E42" s="326"/>
      <c r="F42" s="326"/>
    </row>
    <row r="43" spans="1:6" ht="18.75">
      <c r="A43" s="320" t="s">
        <v>11</v>
      </c>
      <c r="B43" s="321"/>
      <c r="C43" s="322"/>
      <c r="D43" s="322"/>
      <c r="E43" s="322"/>
      <c r="F43" s="323"/>
    </row>
    <row r="44" spans="1:6" ht="18.75">
      <c r="A44" s="319" t="s">
        <v>24</v>
      </c>
      <c r="B44" s="318" t="s">
        <v>3</v>
      </c>
      <c r="C44" s="318" t="s">
        <v>22</v>
      </c>
      <c r="D44" s="318" t="s">
        <v>439</v>
      </c>
      <c r="E44" s="318" t="s">
        <v>37</v>
      </c>
      <c r="F44" s="100" t="s">
        <v>136</v>
      </c>
    </row>
    <row r="45" spans="1:6" ht="18.75">
      <c r="A45" s="319"/>
      <c r="B45" s="318"/>
      <c r="C45" s="318"/>
      <c r="D45" s="318"/>
      <c r="E45" s="318"/>
      <c r="F45" s="100" t="s">
        <v>22</v>
      </c>
    </row>
    <row r="46" spans="1:6" ht="18.75">
      <c r="A46" s="121" t="s">
        <v>82</v>
      </c>
      <c r="B46" s="103">
        <v>420000</v>
      </c>
      <c r="C46" s="109"/>
      <c r="D46" s="109"/>
      <c r="E46" s="109"/>
      <c r="F46" s="109"/>
    </row>
    <row r="47" spans="1:6" ht="18.75">
      <c r="A47" s="115" t="s">
        <v>48</v>
      </c>
      <c r="B47" s="103">
        <v>421000</v>
      </c>
      <c r="C47" s="50"/>
      <c r="D47" s="50"/>
      <c r="E47" s="50"/>
      <c r="F47" s="50"/>
    </row>
    <row r="48" spans="1:6" ht="18.75">
      <c r="A48" s="116" t="s">
        <v>392</v>
      </c>
      <c r="B48" s="105">
        <v>421001</v>
      </c>
      <c r="C48" s="50">
        <v>354700</v>
      </c>
      <c r="D48" s="50"/>
      <c r="E48" s="50"/>
      <c r="F48" s="50">
        <f>E48-C48</f>
        <v>-354700</v>
      </c>
    </row>
    <row r="49" spans="1:6" ht="18.75">
      <c r="A49" s="116" t="s">
        <v>391</v>
      </c>
      <c r="B49" s="102">
        <v>421002</v>
      </c>
      <c r="C49" s="50">
        <v>7296100</v>
      </c>
      <c r="D49" s="50">
        <v>625141.06</v>
      </c>
      <c r="E49" s="50">
        <f>625141.06</f>
        <v>625141.06</v>
      </c>
      <c r="F49" s="50">
        <f>E49-C49</f>
        <v>-6670958.9399999995</v>
      </c>
    </row>
    <row r="50" spans="1:6" ht="18.75">
      <c r="A50" s="116" t="s">
        <v>83</v>
      </c>
      <c r="B50" s="102">
        <v>421004</v>
      </c>
      <c r="C50" s="50">
        <v>2899800</v>
      </c>
      <c r="D50" s="50">
        <v>213214.03</v>
      </c>
      <c r="E50" s="50">
        <f>213214.03</f>
        <v>213214.03</v>
      </c>
      <c r="F50" s="50">
        <f aca="true" t="shared" si="1" ref="F50:F56">E50-C50</f>
        <v>-2686585.97</v>
      </c>
    </row>
    <row r="51" spans="1:6" ht="18.75">
      <c r="A51" s="116" t="s">
        <v>49</v>
      </c>
      <c r="B51" s="102">
        <v>421005</v>
      </c>
      <c r="C51" s="50">
        <v>125000</v>
      </c>
      <c r="D51" s="183"/>
      <c r="E51" s="50"/>
      <c r="F51" s="50">
        <f t="shared" si="1"/>
        <v>-125000</v>
      </c>
    </row>
    <row r="52" spans="1:6" ht="18.75">
      <c r="A52" s="116" t="s">
        <v>50</v>
      </c>
      <c r="B52" s="102">
        <v>421006</v>
      </c>
      <c r="C52" s="50">
        <v>1100000</v>
      </c>
      <c r="D52" s="50">
        <v>91128.26</v>
      </c>
      <c r="E52" s="50">
        <f>91128.26</f>
        <v>91128.26</v>
      </c>
      <c r="F52" s="50">
        <f t="shared" si="1"/>
        <v>-1008871.74</v>
      </c>
    </row>
    <row r="53" spans="1:6" ht="18.75">
      <c r="A53" s="116" t="s">
        <v>51</v>
      </c>
      <c r="B53" s="102">
        <v>421007</v>
      </c>
      <c r="C53" s="50">
        <v>1800000</v>
      </c>
      <c r="D53" s="50">
        <v>196751.82</v>
      </c>
      <c r="E53" s="50">
        <f>196751.82</f>
        <v>196751.82</v>
      </c>
      <c r="F53" s="50">
        <f t="shared" si="1"/>
        <v>-1603248.18</v>
      </c>
    </row>
    <row r="54" spans="1:6" ht="18.75">
      <c r="A54" s="116" t="s">
        <v>84</v>
      </c>
      <c r="B54" s="102">
        <v>421012</v>
      </c>
      <c r="C54" s="50">
        <v>30000</v>
      </c>
      <c r="D54" s="183"/>
      <c r="E54" s="50"/>
      <c r="F54" s="50">
        <f t="shared" si="1"/>
        <v>-30000</v>
      </c>
    </row>
    <row r="55" spans="1:6" ht="18.75">
      <c r="A55" s="116" t="s">
        <v>85</v>
      </c>
      <c r="B55" s="102">
        <v>421013</v>
      </c>
      <c r="C55" s="50">
        <v>70000</v>
      </c>
      <c r="D55" s="183">
        <v>13583.96</v>
      </c>
      <c r="E55" s="50">
        <f>13583.96</f>
        <v>13583.96</v>
      </c>
      <c r="F55" s="50">
        <f t="shared" si="1"/>
        <v>-56416.04</v>
      </c>
    </row>
    <row r="56" spans="1:6" ht="18.75">
      <c r="A56" s="116" t="s">
        <v>134</v>
      </c>
      <c r="B56" s="102">
        <v>421015</v>
      </c>
      <c r="C56" s="50">
        <v>250000</v>
      </c>
      <c r="D56" s="50">
        <v>30356</v>
      </c>
      <c r="E56" s="50">
        <f>30356</f>
        <v>30356</v>
      </c>
      <c r="F56" s="50">
        <f t="shared" si="1"/>
        <v>-219644</v>
      </c>
    </row>
    <row r="57" spans="1:6" ht="19.5" thickBot="1">
      <c r="A57" s="117" t="s">
        <v>19</v>
      </c>
      <c r="B57" s="102"/>
      <c r="C57" s="104">
        <f>SUM(C48:C56)</f>
        <v>13925600</v>
      </c>
      <c r="D57" s="104">
        <f>SUM(D48:D56)</f>
        <v>1170175.1300000001</v>
      </c>
      <c r="E57" s="104">
        <f>SUM(E48:E56)</f>
        <v>1170175.1300000001</v>
      </c>
      <c r="F57" s="104">
        <f>SUM(F48:F56)</f>
        <v>-12755424.87</v>
      </c>
    </row>
    <row r="58" spans="1:6" ht="19.5" thickTop="1">
      <c r="A58" s="122" t="s">
        <v>86</v>
      </c>
      <c r="B58" s="110">
        <v>430000</v>
      </c>
      <c r="C58" s="106"/>
      <c r="D58" s="106"/>
      <c r="E58" s="106"/>
      <c r="F58" s="106"/>
    </row>
    <row r="59" spans="1:6" ht="18.75">
      <c r="A59" s="115" t="s">
        <v>343</v>
      </c>
      <c r="B59" s="110">
        <v>431000</v>
      </c>
      <c r="C59" s="50"/>
      <c r="D59" s="50"/>
      <c r="E59" s="50"/>
      <c r="F59" s="50"/>
    </row>
    <row r="60" spans="1:6" ht="18.75">
      <c r="A60" s="116" t="s">
        <v>87</v>
      </c>
      <c r="B60" s="102">
        <v>431002</v>
      </c>
      <c r="C60" s="50">
        <v>8451200</v>
      </c>
      <c r="D60" s="50">
        <v>0</v>
      </c>
      <c r="E60" s="50"/>
      <c r="F60" s="50">
        <f>E60-C60</f>
        <v>-8451200</v>
      </c>
    </row>
    <row r="61" spans="1:6" ht="18.75">
      <c r="A61" s="116" t="s">
        <v>88</v>
      </c>
      <c r="B61" s="102"/>
      <c r="C61" s="50"/>
      <c r="D61" s="50"/>
      <c r="E61" s="50"/>
      <c r="F61" s="50"/>
    </row>
    <row r="62" spans="1:6" ht="19.5" thickBot="1">
      <c r="A62" s="117" t="s">
        <v>19</v>
      </c>
      <c r="B62" s="102"/>
      <c r="C62" s="104">
        <f>SUM(C60)</f>
        <v>8451200</v>
      </c>
      <c r="D62" s="104">
        <f>SUM(D60:D61)</f>
        <v>0</v>
      </c>
      <c r="E62" s="104">
        <f>SUM(E60:E61)</f>
        <v>0</v>
      </c>
      <c r="F62" s="104">
        <f>SUM(F60:F61)</f>
        <v>-8451200</v>
      </c>
    </row>
    <row r="63" spans="1:6" ht="19.5" thickTop="1">
      <c r="A63" s="117" t="s">
        <v>30</v>
      </c>
      <c r="B63" s="102"/>
      <c r="C63" s="111">
        <f>C13+C24+C27+C32+C35+C57+C62</f>
        <v>23174550</v>
      </c>
      <c r="D63" s="111">
        <f>SUM(D13,D24,D27,D32,D57,D62,D35)</f>
        <v>1183956.28</v>
      </c>
      <c r="E63" s="111">
        <f>SUM(E13,E24,E27,E32,E57,E62,E35)</f>
        <v>1183770.28</v>
      </c>
      <c r="F63" s="111">
        <f>E63-C63</f>
        <v>-21990779.72</v>
      </c>
    </row>
    <row r="64" spans="1:6" ht="18.75">
      <c r="A64" s="122" t="s">
        <v>440</v>
      </c>
      <c r="B64" s="110">
        <v>440000</v>
      </c>
      <c r="C64" s="106"/>
      <c r="D64" s="106"/>
      <c r="E64" s="106"/>
      <c r="F64" s="106"/>
    </row>
    <row r="65" spans="1:6" ht="18.75">
      <c r="A65" s="115" t="s">
        <v>446</v>
      </c>
      <c r="B65" s="110">
        <v>441000</v>
      </c>
      <c r="C65" s="50"/>
      <c r="D65" s="50"/>
      <c r="E65" s="50"/>
      <c r="F65" s="50"/>
    </row>
    <row r="66" spans="1:6" ht="18.75">
      <c r="A66" s="116" t="s">
        <v>401</v>
      </c>
      <c r="B66" s="102">
        <v>441001</v>
      </c>
      <c r="C66" s="50"/>
      <c r="D66" s="50"/>
      <c r="E66" s="50"/>
      <c r="F66" s="50"/>
    </row>
    <row r="67" spans="1:6" ht="18.75">
      <c r="A67" s="116" t="s">
        <v>402</v>
      </c>
      <c r="B67" s="102">
        <v>441001</v>
      </c>
      <c r="C67" s="50"/>
      <c r="D67" s="50"/>
      <c r="E67" s="50"/>
      <c r="F67" s="50"/>
    </row>
    <row r="68" spans="1:6" ht="18.75">
      <c r="A68" s="116" t="s">
        <v>403</v>
      </c>
      <c r="B68" s="102"/>
      <c r="C68" s="50"/>
      <c r="D68" s="50"/>
      <c r="E68" s="50"/>
      <c r="F68" s="50"/>
    </row>
    <row r="69" spans="1:6" ht="18.75">
      <c r="A69" s="116" t="s">
        <v>404</v>
      </c>
      <c r="B69" s="102">
        <v>441001</v>
      </c>
      <c r="C69" s="50"/>
      <c r="D69" s="50"/>
      <c r="E69" s="50"/>
      <c r="F69" s="50"/>
    </row>
    <row r="70" spans="1:6" ht="18.75">
      <c r="A70" s="116" t="s">
        <v>502</v>
      </c>
      <c r="B70" s="102">
        <v>441001</v>
      </c>
      <c r="C70" s="50"/>
      <c r="D70" s="50"/>
      <c r="E70" s="50"/>
      <c r="F70" s="50"/>
    </row>
    <row r="71" spans="1:6" ht="18.75">
      <c r="A71" s="116" t="s">
        <v>503</v>
      </c>
      <c r="B71" s="102">
        <v>441001</v>
      </c>
      <c r="C71" s="50"/>
      <c r="D71" s="50"/>
      <c r="E71" s="50"/>
      <c r="F71" s="50"/>
    </row>
    <row r="72" spans="1:6" ht="18.75">
      <c r="A72" s="116" t="s">
        <v>431</v>
      </c>
      <c r="B72" s="102"/>
      <c r="C72" s="50"/>
      <c r="D72" s="50"/>
      <c r="E72" s="50"/>
      <c r="F72" s="50"/>
    </row>
    <row r="73" spans="1:6" ht="18.75">
      <c r="A73" s="116" t="s">
        <v>504</v>
      </c>
      <c r="B73" s="102">
        <v>441001</v>
      </c>
      <c r="C73" s="50"/>
      <c r="D73" s="50"/>
      <c r="E73" s="50"/>
      <c r="F73" s="50"/>
    </row>
    <row r="74" spans="1:6" ht="18.75">
      <c r="A74" s="116" t="s">
        <v>432</v>
      </c>
      <c r="B74" s="102"/>
      <c r="C74" s="50"/>
      <c r="D74" s="50"/>
      <c r="E74" s="50"/>
      <c r="F74" s="50"/>
    </row>
    <row r="75" spans="1:6" ht="18.75">
      <c r="A75" s="116" t="s">
        <v>505</v>
      </c>
      <c r="B75" s="102"/>
      <c r="C75" s="50"/>
      <c r="D75" s="50"/>
      <c r="E75" s="50"/>
      <c r="F75" s="50"/>
    </row>
    <row r="76" spans="1:6" ht="19.5" thickBot="1">
      <c r="A76" s="284" t="s">
        <v>19</v>
      </c>
      <c r="B76" s="102"/>
      <c r="C76" s="104">
        <f>SUM(C66:C75)</f>
        <v>0</v>
      </c>
      <c r="D76" s="104">
        <f>SUM(D66:D74)</f>
        <v>0</v>
      </c>
      <c r="E76" s="104">
        <f>SUM(E66:E75)</f>
        <v>0</v>
      </c>
      <c r="F76" s="104">
        <f>SUM(F66:F75)</f>
        <v>0</v>
      </c>
    </row>
    <row r="77" spans="1:6" ht="20.25" thickBot="1" thickTop="1">
      <c r="A77" s="117" t="s">
        <v>497</v>
      </c>
      <c r="B77" s="102"/>
      <c r="C77" s="104">
        <f>SUM(C63+C76)</f>
        <v>23174550</v>
      </c>
      <c r="D77" s="104">
        <f>SUM(D63+D76)</f>
        <v>1183956.28</v>
      </c>
      <c r="E77" s="104">
        <f>SUM(E63+E76)</f>
        <v>1183770.28</v>
      </c>
      <c r="F77" s="104">
        <f>SUM(F63+F76)</f>
        <v>-21990779.72</v>
      </c>
    </row>
    <row r="78" spans="1:6" ht="19.5" thickTop="1">
      <c r="A78" s="213" t="s">
        <v>498</v>
      </c>
      <c r="B78" s="102"/>
      <c r="C78" s="50"/>
      <c r="D78" s="50"/>
      <c r="E78" s="50"/>
      <c r="F78" s="50"/>
    </row>
    <row r="79" spans="1:6" ht="19.5" thickBot="1">
      <c r="A79" s="117" t="s">
        <v>19</v>
      </c>
      <c r="B79" s="102"/>
      <c r="C79" s="104">
        <f>SUM(C78)</f>
        <v>0</v>
      </c>
      <c r="D79" s="104"/>
      <c r="E79" s="104">
        <f>SUM(E78:E78)</f>
        <v>0</v>
      </c>
      <c r="F79" s="104">
        <f>SUM(F78:F78)</f>
        <v>0</v>
      </c>
    </row>
    <row r="80" spans="1:6" ht="19.5" thickTop="1">
      <c r="A80" s="117" t="s">
        <v>52</v>
      </c>
      <c r="B80" s="102"/>
      <c r="C80" s="111">
        <f>SUM(C77+C79)</f>
        <v>23174550</v>
      </c>
      <c r="D80" s="111">
        <f>SUM(D77)</f>
        <v>1183956.28</v>
      </c>
      <c r="E80" s="111">
        <f>SUM(E77+E79)</f>
        <v>1183770.28</v>
      </c>
      <c r="F80" s="111">
        <f>SUM(F77+F79)</f>
        <v>-21990779.72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293" t="s">
        <v>57</v>
      </c>
      <c r="B1" s="293"/>
      <c r="C1" s="293"/>
    </row>
    <row r="2" spans="1:3" ht="18" customHeight="1">
      <c r="A2" s="293" t="s">
        <v>58</v>
      </c>
      <c r="B2" s="293"/>
      <c r="C2" s="293"/>
    </row>
    <row r="3" spans="1:3" ht="18" customHeight="1">
      <c r="A3" s="329" t="s">
        <v>524</v>
      </c>
      <c r="B3" s="329"/>
      <c r="C3" s="329"/>
    </row>
    <row r="4" spans="1:3" ht="18" customHeight="1">
      <c r="A4" s="18" t="s">
        <v>24</v>
      </c>
      <c r="B4" s="18" t="s">
        <v>27</v>
      </c>
      <c r="C4" s="18" t="s">
        <v>59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123</v>
      </c>
      <c r="B6" s="20">
        <v>1183956.28</v>
      </c>
      <c r="C6" s="20">
        <f>1183956.28</f>
        <v>1183956.28</v>
      </c>
    </row>
    <row r="7" spans="1:3" ht="18" customHeight="1">
      <c r="A7" s="21" t="s">
        <v>60</v>
      </c>
      <c r="B7" s="20">
        <v>22540.91</v>
      </c>
      <c r="C7" s="20">
        <f>22540.91</f>
        <v>22540.91</v>
      </c>
    </row>
    <row r="8" spans="1:3" ht="18" customHeight="1">
      <c r="A8" s="21" t="s">
        <v>394</v>
      </c>
      <c r="B8" s="20">
        <v>125493.06</v>
      </c>
      <c r="C8" s="20">
        <f>125493.06</f>
        <v>125493.06</v>
      </c>
    </row>
    <row r="9" spans="1:3" ht="18" customHeight="1">
      <c r="A9" s="21" t="s">
        <v>550</v>
      </c>
      <c r="B9" s="20">
        <v>785920</v>
      </c>
      <c r="C9" s="20">
        <f>785920</f>
        <v>785920</v>
      </c>
    </row>
    <row r="10" spans="1:3" ht="18" customHeight="1">
      <c r="A10" s="21" t="s">
        <v>525</v>
      </c>
      <c r="B10" s="20">
        <v>9450</v>
      </c>
      <c r="C10" s="20">
        <f>9450</f>
        <v>9450</v>
      </c>
    </row>
    <row r="11" spans="1:3" ht="18" customHeight="1" thickBot="1">
      <c r="A11" s="22" t="s">
        <v>19</v>
      </c>
      <c r="B11" s="24">
        <f>SUM(B6:B10)</f>
        <v>2127360.25</v>
      </c>
      <c r="C11" s="24">
        <f>SUM(C6:C10)</f>
        <v>2127360.25</v>
      </c>
    </row>
    <row r="12" spans="1:3" ht="18" customHeight="1" thickTop="1">
      <c r="A12" s="26" t="s">
        <v>33</v>
      </c>
      <c r="B12" s="51"/>
      <c r="C12" s="20"/>
    </row>
    <row r="13" spans="1:3" ht="18" customHeight="1">
      <c r="A13" s="21" t="s">
        <v>395</v>
      </c>
      <c r="B13" s="16">
        <v>1670342.18</v>
      </c>
      <c r="C13" s="20">
        <f>1670342.18</f>
        <v>1670342.18</v>
      </c>
    </row>
    <row r="14" spans="1:3" ht="18" customHeight="1">
      <c r="A14" s="21" t="s">
        <v>396</v>
      </c>
      <c r="B14" s="16">
        <v>950320</v>
      </c>
      <c r="C14" s="20">
        <f>950320</f>
        <v>950320</v>
      </c>
    </row>
    <row r="15" spans="1:3" ht="18" customHeight="1">
      <c r="A15" s="21" t="s">
        <v>61</v>
      </c>
      <c r="B15" s="20">
        <v>231482.61</v>
      </c>
      <c r="C15" s="20">
        <f>231482.61</f>
        <v>231482.61</v>
      </c>
    </row>
    <row r="16" spans="1:3" ht="18" customHeight="1">
      <c r="A16" s="21" t="s">
        <v>124</v>
      </c>
      <c r="B16" s="20">
        <v>399873.04</v>
      </c>
      <c r="C16" s="20">
        <f>399873.04</f>
        <v>399873.04</v>
      </c>
    </row>
    <row r="17" spans="1:3" ht="18" customHeight="1" thickBot="1">
      <c r="A17" s="22" t="s">
        <v>19</v>
      </c>
      <c r="B17" s="24">
        <f>SUM(B13:B16)</f>
        <v>3252017.8299999996</v>
      </c>
      <c r="C17" s="24">
        <f>SUM(C13:C16)</f>
        <v>3252017.8299999996</v>
      </c>
    </row>
    <row r="18" spans="1:3" ht="18" customHeight="1" thickBot="1" thickTop="1">
      <c r="A18" s="22" t="s">
        <v>62</v>
      </c>
      <c r="B18" s="24">
        <f>B11-B17</f>
        <v>-1124657.5799999996</v>
      </c>
      <c r="C18" s="24">
        <f>C11-C17</f>
        <v>-1124657.5799999996</v>
      </c>
    </row>
    <row r="19" spans="1:3" ht="18" customHeight="1" thickTop="1">
      <c r="A19" s="204"/>
      <c r="B19" s="205"/>
      <c r="C19" s="205"/>
    </row>
    <row r="20" spans="1:3" ht="18" customHeight="1">
      <c r="A20" s="204"/>
      <c r="B20" s="205"/>
      <c r="C20" s="205"/>
    </row>
    <row r="21" spans="1:3" ht="18" customHeight="1">
      <c r="A21" s="204"/>
      <c r="B21" s="205"/>
      <c r="C21" s="205"/>
    </row>
    <row r="22" spans="1:3" ht="18" customHeight="1">
      <c r="A22" s="204"/>
      <c r="B22" s="205"/>
      <c r="C22" s="205"/>
    </row>
    <row r="23" spans="1:5" ht="18" customHeight="1">
      <c r="A23" s="2" t="s">
        <v>12</v>
      </c>
      <c r="B23" s="9"/>
      <c r="C23" s="15"/>
      <c r="D23" s="15"/>
      <c r="E23" s="15"/>
    </row>
    <row r="24" spans="1:5" ht="18" customHeight="1">
      <c r="A24" s="17" t="s">
        <v>13</v>
      </c>
      <c r="B24" s="9"/>
      <c r="C24" s="15"/>
      <c r="D24" s="15"/>
      <c r="E24" s="14"/>
    </row>
    <row r="25" spans="1:5" ht="18" customHeight="1">
      <c r="A25" s="17"/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327" t="s">
        <v>63</v>
      </c>
      <c r="B27" s="327"/>
      <c r="C27" s="327"/>
      <c r="D27" s="10"/>
      <c r="E27" s="10"/>
    </row>
    <row r="28" spans="1:5" ht="18" customHeight="1">
      <c r="A28" s="327" t="s">
        <v>91</v>
      </c>
      <c r="B28" s="327"/>
      <c r="C28" s="327"/>
      <c r="D28" s="10"/>
      <c r="E28" s="10"/>
    </row>
    <row r="29" spans="1:5" ht="18" customHeight="1">
      <c r="A29" s="4"/>
      <c r="B29" s="4"/>
      <c r="C29" s="4"/>
      <c r="D29" s="10"/>
      <c r="E29" s="10"/>
    </row>
    <row r="30" spans="1:5" ht="18" customHeight="1">
      <c r="A30" s="327" t="s">
        <v>14</v>
      </c>
      <c r="B30" s="327"/>
      <c r="C30" s="327"/>
      <c r="D30" s="10"/>
      <c r="E30" s="10"/>
    </row>
    <row r="31" spans="1:5" ht="18" customHeight="1">
      <c r="A31" s="2"/>
      <c r="B31" s="9"/>
      <c r="C31" s="15"/>
      <c r="D31" s="15"/>
      <c r="E31" s="2"/>
    </row>
    <row r="32" spans="1:5" s="1" customFormat="1" ht="18" customHeight="1">
      <c r="A32" s="327" t="s">
        <v>125</v>
      </c>
      <c r="B32" s="327"/>
      <c r="C32" s="327"/>
      <c r="D32" s="10"/>
      <c r="E32" s="10"/>
    </row>
    <row r="33" spans="1:5" s="1" customFormat="1" ht="18" customHeight="1">
      <c r="A33" s="327" t="s">
        <v>15</v>
      </c>
      <c r="B33" s="327"/>
      <c r="C33" s="327"/>
      <c r="D33" s="10"/>
      <c r="E33" s="10"/>
    </row>
    <row r="34" spans="1:5" s="1" customFormat="1" ht="18" customHeight="1">
      <c r="A34" s="328">
        <v>240635</v>
      </c>
      <c r="B34" s="328"/>
      <c r="C34" s="328"/>
      <c r="D34" s="10"/>
      <c r="E34" s="10"/>
    </row>
  </sheetData>
  <sheetProtection/>
  <mergeCells count="9">
    <mergeCell ref="A32:C32"/>
    <mergeCell ref="A33:C33"/>
    <mergeCell ref="A34:C34"/>
    <mergeCell ref="A1:C1"/>
    <mergeCell ref="A2:C2"/>
    <mergeCell ref="A3:C3"/>
    <mergeCell ref="A27:C27"/>
    <mergeCell ref="A28:C28"/>
    <mergeCell ref="A30:C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30" t="s">
        <v>64</v>
      </c>
      <c r="B2" s="330"/>
      <c r="C2" s="330"/>
      <c r="D2" s="330"/>
      <c r="E2" s="330"/>
      <c r="F2" s="330"/>
      <c r="G2" s="339" t="s">
        <v>65</v>
      </c>
      <c r="H2" s="330"/>
      <c r="I2" s="330"/>
      <c r="J2" s="330"/>
    </row>
    <row r="3" spans="1:10" ht="23.25">
      <c r="A3" s="330" t="s">
        <v>66</v>
      </c>
      <c r="B3" s="330"/>
      <c r="C3" s="330"/>
      <c r="D3" s="330"/>
      <c r="E3" s="330"/>
      <c r="F3" s="330"/>
      <c r="G3" s="339" t="s">
        <v>89</v>
      </c>
      <c r="H3" s="330"/>
      <c r="I3" s="330"/>
      <c r="J3" s="330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37" t="s">
        <v>531</v>
      </c>
      <c r="B5" s="337"/>
      <c r="C5" s="337"/>
      <c r="D5" s="337"/>
      <c r="E5" s="337"/>
      <c r="F5" s="340"/>
      <c r="G5" s="31"/>
      <c r="H5" s="31"/>
      <c r="I5" s="31"/>
      <c r="J5" s="32">
        <v>7579047.12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33" t="s">
        <v>67</v>
      </c>
      <c r="B7" s="333"/>
      <c r="C7" s="333"/>
      <c r="D7" s="333"/>
      <c r="E7" s="333"/>
      <c r="F7" s="34"/>
      <c r="G7" s="31"/>
      <c r="H7" s="31"/>
      <c r="I7" s="31"/>
      <c r="J7" s="32"/>
    </row>
    <row r="8" spans="1:10" ht="23.25">
      <c r="A8" s="56" t="s">
        <v>68</v>
      </c>
      <c r="B8" s="35"/>
      <c r="C8" s="56" t="s">
        <v>69</v>
      </c>
      <c r="D8" s="35"/>
      <c r="E8" s="35"/>
      <c r="F8" s="36" t="s">
        <v>70</v>
      </c>
      <c r="G8" s="31"/>
      <c r="H8" s="31"/>
      <c r="I8" s="31"/>
      <c r="J8" s="32"/>
    </row>
    <row r="9" spans="1:10" ht="23.25">
      <c r="A9" s="56" t="s">
        <v>532</v>
      </c>
      <c r="B9" s="35"/>
      <c r="C9" s="56" t="s">
        <v>533</v>
      </c>
      <c r="D9" s="35"/>
      <c r="E9" s="35"/>
      <c r="F9" s="36">
        <v>8390.96</v>
      </c>
      <c r="G9" s="31"/>
      <c r="H9" s="31"/>
      <c r="I9" s="31"/>
      <c r="J9" s="32"/>
    </row>
    <row r="10" spans="1:10" ht="23.25">
      <c r="A10" s="56"/>
      <c r="B10" s="35"/>
      <c r="C10" s="56" t="s">
        <v>534</v>
      </c>
      <c r="D10" s="35"/>
      <c r="E10" s="35"/>
      <c r="F10" s="37">
        <v>7104</v>
      </c>
      <c r="G10" s="31"/>
      <c r="H10" s="31"/>
      <c r="I10" s="31"/>
      <c r="J10" s="38"/>
    </row>
    <row r="11" spans="1:10" ht="23.25">
      <c r="A11" s="56" t="s">
        <v>535</v>
      </c>
      <c r="B11" s="35"/>
      <c r="C11" s="56" t="s">
        <v>536</v>
      </c>
      <c r="D11" s="35"/>
      <c r="E11" s="35"/>
      <c r="F11" s="37">
        <v>800</v>
      </c>
      <c r="G11" s="31"/>
      <c r="H11" s="31"/>
      <c r="I11" s="31"/>
      <c r="J11" s="37"/>
    </row>
    <row r="12" spans="1:10" ht="23.25">
      <c r="A12" s="56"/>
      <c r="B12" s="35"/>
      <c r="C12" s="56" t="s">
        <v>537</v>
      </c>
      <c r="D12" s="35"/>
      <c r="E12" s="35"/>
      <c r="F12" s="37">
        <v>3946</v>
      </c>
      <c r="G12" s="31"/>
      <c r="H12" s="31"/>
      <c r="I12" s="31"/>
      <c r="J12" s="32"/>
    </row>
    <row r="13" spans="1:10" ht="23.25">
      <c r="A13" s="56"/>
      <c r="B13" s="35"/>
      <c r="C13" s="56" t="s">
        <v>538</v>
      </c>
      <c r="D13" s="35"/>
      <c r="E13" s="35"/>
      <c r="F13" s="37">
        <v>21314</v>
      </c>
      <c r="G13" s="31"/>
      <c r="H13" s="31"/>
      <c r="I13" s="31"/>
      <c r="J13" s="32"/>
    </row>
    <row r="14" spans="1:10" ht="23.25">
      <c r="A14" s="56"/>
      <c r="B14" s="35"/>
      <c r="C14" s="56" t="s">
        <v>539</v>
      </c>
      <c r="D14" s="35"/>
      <c r="E14" s="35"/>
      <c r="F14" s="37">
        <v>13855.06</v>
      </c>
      <c r="G14" s="31"/>
      <c r="H14" s="31"/>
      <c r="I14" s="31"/>
      <c r="J14" s="32"/>
    </row>
    <row r="15" spans="1:10" ht="23.25">
      <c r="A15" s="56"/>
      <c r="B15" s="35"/>
      <c r="C15" s="56" t="s">
        <v>540</v>
      </c>
      <c r="D15" s="35"/>
      <c r="E15" s="35"/>
      <c r="F15" s="37">
        <v>45570.09</v>
      </c>
      <c r="G15" s="31"/>
      <c r="H15" s="31"/>
      <c r="I15" s="31"/>
      <c r="J15" s="32"/>
    </row>
    <row r="16" spans="1:10" ht="23.25">
      <c r="A16" s="56" t="s">
        <v>542</v>
      </c>
      <c r="B16" s="35"/>
      <c r="C16" s="56" t="s">
        <v>541</v>
      </c>
      <c r="D16" s="35"/>
      <c r="E16" s="35"/>
      <c r="F16" s="37">
        <v>6141.11</v>
      </c>
      <c r="G16" s="31"/>
      <c r="H16" s="31"/>
      <c r="I16" s="31"/>
      <c r="J16" s="32">
        <v>107121.22</v>
      </c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6"/>
      <c r="B19" s="35"/>
      <c r="C19" s="56"/>
      <c r="D19" s="35"/>
      <c r="E19" s="35"/>
      <c r="F19" s="37"/>
      <c r="G19" s="31"/>
      <c r="H19" s="31"/>
      <c r="I19" s="31"/>
      <c r="J19" s="32"/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338"/>
      <c r="B21" s="338"/>
      <c r="C21" s="338"/>
      <c r="D21" s="35"/>
      <c r="E21" s="35"/>
      <c r="F21" s="37"/>
      <c r="G21" s="31"/>
      <c r="H21" s="31"/>
      <c r="I21" s="31"/>
      <c r="J21" s="32"/>
    </row>
    <row r="22" spans="1:10" ht="23.25">
      <c r="A22" s="56"/>
      <c r="B22" s="280"/>
      <c r="C22" s="280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1" t="s">
        <v>543</v>
      </c>
      <c r="B25" s="341"/>
      <c r="C25" s="341"/>
      <c r="D25" s="341"/>
      <c r="E25" s="341"/>
      <c r="F25" s="342"/>
      <c r="G25" s="31"/>
      <c r="H25" s="31"/>
      <c r="I25" s="31"/>
      <c r="J25" s="32">
        <f>SUM(J5-J16)</f>
        <v>7471925.9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 t="s">
        <v>260</v>
      </c>
    </row>
    <row r="27" spans="1:10" ht="23.25">
      <c r="A27" s="57" t="s">
        <v>71</v>
      </c>
      <c r="B27" s="40"/>
      <c r="C27" s="57"/>
      <c r="D27" s="40"/>
      <c r="E27" s="40"/>
      <c r="F27" s="41"/>
      <c r="G27" s="336" t="s">
        <v>72</v>
      </c>
      <c r="H27" s="337"/>
      <c r="I27" s="337"/>
      <c r="J27" s="337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34" t="s">
        <v>544</v>
      </c>
      <c r="B29" s="334"/>
      <c r="C29" s="334"/>
      <c r="D29" s="334"/>
      <c r="E29" s="334"/>
      <c r="F29" s="335"/>
      <c r="G29" s="331" t="s">
        <v>545</v>
      </c>
      <c r="H29" s="332"/>
      <c r="I29" s="332"/>
      <c r="J29" s="332"/>
    </row>
    <row r="30" spans="1:10" ht="23.25">
      <c r="A30" s="330" t="s">
        <v>433</v>
      </c>
      <c r="B30" s="330"/>
      <c r="C30" s="330"/>
      <c r="D30" s="330"/>
      <c r="E30" s="33"/>
      <c r="F30" s="37"/>
      <c r="G30" s="331" t="s">
        <v>475</v>
      </c>
      <c r="H30" s="332"/>
      <c r="I30" s="332"/>
      <c r="J30" s="332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2015-11-27T09:30:36Z</cp:lastPrinted>
  <dcterms:created xsi:type="dcterms:W3CDTF">1996-10-14T23:33:28Z</dcterms:created>
  <dcterms:modified xsi:type="dcterms:W3CDTF">2015-11-27T09:33:22Z</dcterms:modified>
  <cp:category/>
  <cp:version/>
  <cp:contentType/>
  <cp:contentStatus/>
</cp:coreProperties>
</file>